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50d6280c872bd7/TRPG/ZZ_TOOLS/0_DEVELOPMENT/004 Excel online resources/"/>
    </mc:Choice>
  </mc:AlternateContent>
  <xr:revisionPtr revIDLastSave="0" documentId="8_{5BF95272-72D8-45D7-A272-0673E0E88511}" xr6:coauthVersionLast="45" xr6:coauthVersionMax="45" xr10:uidLastSave="{00000000-0000-0000-0000-000000000000}"/>
  <bookViews>
    <workbookView xWindow="-120" yWindow="-120" windowWidth="19440" windowHeight="15120" xr2:uid="{00000000-000D-0000-FFFF-FFFF00000000}"/>
  </bookViews>
  <sheets>
    <sheet name="Jewelry Shop Inventory" sheetId="1" r:id="rId1"/>
    <sheet name="Settings" sheetId="2" r:id="rId2"/>
  </sheets>
  <definedNames>
    <definedName name="CraftNum">Settings!$D$38</definedName>
    <definedName name="CraftRange">Settings!$A$39:$D$39</definedName>
    <definedName name="CraftRef">Settings!$A$39</definedName>
    <definedName name="EStoneRange">Settings!$N$164:$N$188</definedName>
    <definedName name="EStoneRef">Settings!$N$163</definedName>
    <definedName name="ExtremeRange">Settings!$W$164:$W$175</definedName>
    <definedName name="ExtremeValue">Settings!$Y$164:$Y$175</definedName>
    <definedName name="InvSize">Settings!$A$14:$A$16</definedName>
    <definedName name="ItemCommonCount">Settings!$O$16</definedName>
    <definedName name="ItemRange">Settings!$F$34:$G$39</definedName>
    <definedName name="ItemRareCount">Settings!$O$31</definedName>
    <definedName name="ItemTypeCount">Settings!$P$40</definedName>
    <definedName name="ItemTypeRange">Settings!$P$15:$P$39</definedName>
    <definedName name="ItemTypeRarity">Settings!$O$15:$O$39</definedName>
    <definedName name="ItemTypeRef">Settings!$P$14</definedName>
    <definedName name="ItemUncommonCount">Settings!$O$22</definedName>
    <definedName name="ItemUniqueCount">Settings!$O$36</definedName>
    <definedName name="LooseRange">Settings!$M$76:$M$100</definedName>
    <definedName name="LooseValue">Settings!$N$76:$N$100</definedName>
    <definedName name="MaterialCount">Settings!$G$24</definedName>
    <definedName name="MaterialRange">Settings!$F$14:$F$23</definedName>
    <definedName name="MaterialRef">Settings!$F$13</definedName>
    <definedName name="MerchType">Settings!$A$5:$A$11</definedName>
    <definedName name="MissingRange">Settings!$W$194:$W$205</definedName>
    <definedName name="MissingValue">Settings!$Y$194:$Y$205</definedName>
    <definedName name="MStoneRange">Settings!$N$134:$N$158</definedName>
    <definedName name="MStoneRef">Settings!$N$133</definedName>
    <definedName name="MultiRange">Settings!$W$134:$W$145</definedName>
    <definedName name="MultiValue">Settings!$Y$134:$Y$145</definedName>
    <definedName name="PlainRange">Settings!$W$76:$W$100</definedName>
    <definedName name="PlainValue">Settings!$Y$76:$Y$100</definedName>
    <definedName name="ProbQ">Settings!$C$57</definedName>
    <definedName name="ProbR">Settings!$B$63:$C$68</definedName>
    <definedName name="ProbR2">Settings!$E$63</definedName>
    <definedName name="ProbT">Settings!$C$50</definedName>
    <definedName name="QRange">Settings!$A$19:$A$22</definedName>
    <definedName name="QRef">Settings!$A$18</definedName>
    <definedName name="SetRange">Settings!$W$105:$W$129</definedName>
    <definedName name="SetValue">Settings!$Y$105:$Y$129</definedName>
    <definedName name="StoneQ">Settings!$F$27:$H$31</definedName>
    <definedName name="StonesC">Settings!$M$41:$M$48</definedName>
    <definedName name="StonesR">Settings!$M$26:$M$32</definedName>
    <definedName name="StonesU">Settings!$M$15:$M$20</definedName>
    <definedName name="StonesUC">Settings!$M$33:$M$40</definedName>
    <definedName name="StonesVC">Settings!$M$49:$M$58</definedName>
    <definedName name="StonesVR">Settings!$M$21:$M$25</definedName>
    <definedName name="StoneTypeRange">Settings!$M$15:$M$58</definedName>
    <definedName name="StoneTypes">Settings!$L$59</definedName>
    <definedName name="StoneV">Settings!$A$25:$C$30</definedName>
    <definedName name="TypeLast">Settings!$M$58</definedName>
    <definedName name="TypeRange">Settings!$K$15:$K$58</definedName>
    <definedName name="TypeRef">Settings!$K$14</definedName>
    <definedName name="Wealth">Settings!$A$33:$A$36</definedName>
    <definedName name="WealthMod">Settings!$B$52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2" i="2" l="1"/>
  <c r="A262" i="2"/>
  <c r="I261" i="2"/>
  <c r="A261" i="2"/>
  <c r="I260" i="2"/>
  <c r="A260" i="2"/>
  <c r="I259" i="2"/>
  <c r="A259" i="2"/>
  <c r="I258" i="2"/>
  <c r="A258" i="2"/>
  <c r="I257" i="2"/>
  <c r="A257" i="2"/>
  <c r="I256" i="2"/>
  <c r="A256" i="2"/>
  <c r="I255" i="2"/>
  <c r="A255" i="2"/>
  <c r="I254" i="2"/>
  <c r="A254" i="2"/>
  <c r="I253" i="2"/>
  <c r="A253" i="2"/>
  <c r="I252" i="2"/>
  <c r="A252" i="2"/>
  <c r="I251" i="2"/>
  <c r="A251" i="2"/>
  <c r="I250" i="2"/>
  <c r="A250" i="2"/>
  <c r="I249" i="2"/>
  <c r="A249" i="2"/>
  <c r="I248" i="2"/>
  <c r="A248" i="2"/>
  <c r="I247" i="2"/>
  <c r="A247" i="2"/>
  <c r="I246" i="2"/>
  <c r="A246" i="2"/>
  <c r="I245" i="2"/>
  <c r="A245" i="2"/>
  <c r="I244" i="2"/>
  <c r="A244" i="2"/>
  <c r="I243" i="2"/>
  <c r="A243" i="2"/>
  <c r="I242" i="2"/>
  <c r="A242" i="2"/>
  <c r="I241" i="2"/>
  <c r="A241" i="2"/>
  <c r="I240" i="2"/>
  <c r="A240" i="2"/>
  <c r="I239" i="2"/>
  <c r="A239" i="2"/>
  <c r="I238" i="2"/>
  <c r="A238" i="2"/>
  <c r="I237" i="2"/>
  <c r="A237" i="2"/>
  <c r="I236" i="2"/>
  <c r="A236" i="2"/>
  <c r="I235" i="2"/>
  <c r="A235" i="2"/>
  <c r="I234" i="2"/>
  <c r="A234" i="2"/>
  <c r="I233" i="2"/>
  <c r="A233" i="2"/>
  <c r="I232" i="2"/>
  <c r="A232" i="2"/>
  <c r="I231" i="2"/>
  <c r="A231" i="2"/>
  <c r="I230" i="2"/>
  <c r="A230" i="2"/>
  <c r="I229" i="2"/>
  <c r="A229" i="2"/>
  <c r="I228" i="2"/>
  <c r="A228" i="2"/>
  <c r="I227" i="2"/>
  <c r="A227" i="2"/>
  <c r="I226" i="2"/>
  <c r="A226" i="2"/>
  <c r="I225" i="2"/>
  <c r="A225" i="2"/>
  <c r="I224" i="2"/>
  <c r="A224" i="2"/>
  <c r="I223" i="2"/>
  <c r="A223" i="2"/>
  <c r="I222" i="2"/>
  <c r="A222" i="2"/>
  <c r="L225" i="2"/>
  <c r="L224" i="2"/>
  <c r="L221" i="2" a="1"/>
  <c r="L221" i="2" s="1"/>
  <c r="R207" i="2"/>
  <c r="R177" i="2"/>
  <c r="R147" i="2"/>
  <c r="B63" i="2"/>
  <c r="L59" i="2"/>
  <c r="L49" i="2" s="1"/>
  <c r="D56" i="2"/>
  <c r="D55" i="2"/>
  <c r="E8" i="1" s="1"/>
  <c r="D54" i="2"/>
  <c r="B54" i="2"/>
  <c r="B55" i="2" s="1"/>
  <c r="B56" i="2" s="1"/>
  <c r="B8" i="1" s="1"/>
  <c r="D53" i="2"/>
  <c r="E6" i="1" s="1"/>
  <c r="D52" i="2"/>
  <c r="E5" i="1" s="1"/>
  <c r="L51" i="2"/>
  <c r="D51" i="2"/>
  <c r="F51" i="2" s="1"/>
  <c r="E52" i="2" s="1"/>
  <c r="B51" i="2"/>
  <c r="B53" i="2" s="1"/>
  <c r="B50" i="2"/>
  <c r="D63" i="2" s="1"/>
  <c r="F63" i="2" s="1"/>
  <c r="L44" i="2"/>
  <c r="L34" i="2" s="1"/>
  <c r="D27" i="2" s="1"/>
  <c r="L43" i="2"/>
  <c r="L42" i="2"/>
  <c r="P41" i="2"/>
  <c r="P40" i="2"/>
  <c r="D38" i="2"/>
  <c r="O36" i="2"/>
  <c r="C36" i="2"/>
  <c r="L35" i="2"/>
  <c r="L36" i="2" s="1"/>
  <c r="C35" i="2"/>
  <c r="C34" i="2"/>
  <c r="L33" i="2"/>
  <c r="C33" i="2"/>
  <c r="O31" i="2"/>
  <c r="L29" i="2"/>
  <c r="L22" i="2" s="1"/>
  <c r="D29" i="2" s="1"/>
  <c r="L28" i="2"/>
  <c r="L27" i="2"/>
  <c r="D28" i="2" s="1"/>
  <c r="D26" i="2"/>
  <c r="D25" i="2"/>
  <c r="G24" i="2"/>
  <c r="L23" i="2"/>
  <c r="O22" i="2"/>
  <c r="L17" i="2"/>
  <c r="O16" i="2"/>
  <c r="L15" i="2"/>
  <c r="T11" i="2"/>
  <c r="O11" i="2"/>
  <c r="H11" i="2"/>
  <c r="T10" i="2"/>
  <c r="O10" i="2"/>
  <c r="H10" i="2"/>
  <c r="T9" i="2"/>
  <c r="O9" i="2"/>
  <c r="H9" i="2"/>
  <c r="T8" i="2"/>
  <c r="O8" i="2"/>
  <c r="H8" i="2"/>
  <c r="T7" i="2"/>
  <c r="O7" i="2"/>
  <c r="H7" i="2"/>
  <c r="T6" i="2"/>
  <c r="O6" i="2"/>
  <c r="H6" i="2"/>
  <c r="T5" i="2"/>
  <c r="O5" i="2"/>
  <c r="H5" i="2"/>
  <c r="J52" i="1"/>
  <c r="J51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A12" i="1" a="1"/>
  <c r="E9" i="1"/>
  <c r="E7" i="1"/>
  <c r="F4" i="1"/>
  <c r="E4" i="1" l="1"/>
  <c r="A49" i="1"/>
  <c r="A45" i="1"/>
  <c r="A41" i="1"/>
  <c r="A37" i="1"/>
  <c r="A33" i="1"/>
  <c r="A29" i="1"/>
  <c r="A25" i="1"/>
  <c r="A21" i="1"/>
  <c r="A17" i="1"/>
  <c r="A13" i="1"/>
  <c r="A51" i="1"/>
  <c r="A47" i="1"/>
  <c r="A18" i="1"/>
  <c r="A23" i="1"/>
  <c r="A28" i="1"/>
  <c r="A34" i="1"/>
  <c r="A39" i="1"/>
  <c r="A44" i="1"/>
  <c r="A52" i="1"/>
  <c r="P198" i="2"/>
  <c r="Q198" i="2" s="1"/>
  <c r="P201" i="2"/>
  <c r="Q201" i="2" s="1"/>
  <c r="P200" i="2"/>
  <c r="Q200" i="2" s="1"/>
  <c r="P196" i="2"/>
  <c r="Q196" i="2" s="1"/>
  <c r="P164" i="2"/>
  <c r="Q164" i="2" s="1"/>
  <c r="P195" i="2"/>
  <c r="Q195" i="2" s="1"/>
  <c r="P171" i="2"/>
  <c r="Q171" i="2" s="1"/>
  <c r="P194" i="2"/>
  <c r="Q194" i="2" s="1"/>
  <c r="P166" i="2"/>
  <c r="Q166" i="2" s="1"/>
  <c r="P138" i="2"/>
  <c r="Q138" i="2" s="1"/>
  <c r="P141" i="2"/>
  <c r="Q141" i="2" s="1"/>
  <c r="P127" i="2"/>
  <c r="Q127" i="2" s="1"/>
  <c r="X127" i="2" s="1"/>
  <c r="P129" i="2"/>
  <c r="Q129" i="2" s="1"/>
  <c r="X129" i="2" s="1"/>
  <c r="P144" i="2"/>
  <c r="Q144" i="2" s="1"/>
  <c r="P128" i="2"/>
  <c r="Q128" i="2" s="1"/>
  <c r="X128" i="2" s="1"/>
  <c r="P120" i="2"/>
  <c r="Q120" i="2" s="1"/>
  <c r="X120" i="2" s="1"/>
  <c r="P116" i="2"/>
  <c r="Q116" i="2" s="1"/>
  <c r="X116" i="2" s="1"/>
  <c r="P99" i="2"/>
  <c r="Q99" i="2" s="1"/>
  <c r="X99" i="2" s="1"/>
  <c r="P95" i="2"/>
  <c r="Q95" i="2" s="1"/>
  <c r="X95" i="2" s="1"/>
  <c r="P115" i="2"/>
  <c r="Q115" i="2" s="1"/>
  <c r="X115" i="2" s="1"/>
  <c r="P107" i="2"/>
  <c r="Q107" i="2" s="1"/>
  <c r="X107" i="2" s="1"/>
  <c r="P98" i="2"/>
  <c r="Q98" i="2" s="1"/>
  <c r="X98" i="2" s="1"/>
  <c r="P106" i="2"/>
  <c r="Q106" i="2" s="1"/>
  <c r="X106" i="2" s="1"/>
  <c r="P97" i="2"/>
  <c r="Q97" i="2" s="1"/>
  <c r="X97" i="2" s="1"/>
  <c r="P93" i="2"/>
  <c r="Q93" i="2" s="1"/>
  <c r="X93" i="2" s="1"/>
  <c r="P121" i="2"/>
  <c r="Q121" i="2" s="1"/>
  <c r="X121" i="2" s="1"/>
  <c r="P109" i="2"/>
  <c r="Q109" i="2" s="1"/>
  <c r="X109" i="2" s="1"/>
  <c r="P100" i="2"/>
  <c r="Q100" i="2" s="1"/>
  <c r="X100" i="2" s="1"/>
  <c r="P92" i="2"/>
  <c r="Q92" i="2" s="1"/>
  <c r="X92" i="2" s="1"/>
  <c r="P88" i="2"/>
  <c r="Q88" i="2" s="1"/>
  <c r="X88" i="2" s="1"/>
  <c r="P84" i="2"/>
  <c r="Q84" i="2" s="1"/>
  <c r="X84" i="2" s="1"/>
  <c r="P80" i="2"/>
  <c r="Q80" i="2" s="1"/>
  <c r="X80" i="2" s="1"/>
  <c r="P76" i="2"/>
  <c r="Q76" i="2" s="1"/>
  <c r="X76" i="2" s="1"/>
  <c r="P96" i="2"/>
  <c r="Q96" i="2" s="1"/>
  <c r="X96" i="2" s="1"/>
  <c r="P91" i="2"/>
  <c r="Q91" i="2" s="1"/>
  <c r="X91" i="2" s="1"/>
  <c r="P79" i="2"/>
  <c r="Q79" i="2" s="1"/>
  <c r="X79" i="2" s="1"/>
  <c r="P82" i="2"/>
  <c r="Q82" i="2" s="1"/>
  <c r="X82" i="2" s="1"/>
  <c r="P89" i="2"/>
  <c r="Q89" i="2" s="1"/>
  <c r="X89" i="2" s="1"/>
  <c r="P85" i="2"/>
  <c r="Q85" i="2" s="1"/>
  <c r="X85" i="2" s="1"/>
  <c r="E64" i="2"/>
  <c r="J4" i="1"/>
  <c r="F52" i="2"/>
  <c r="E53" i="2" s="1"/>
  <c r="F53" i="2" s="1"/>
  <c r="E54" i="2" s="1"/>
  <c r="F54" i="2" s="1"/>
  <c r="E55" i="2" s="1"/>
  <c r="A14" i="1"/>
  <c r="A19" i="1"/>
  <c r="A24" i="1"/>
  <c r="A35" i="1"/>
  <c r="A40" i="1"/>
  <c r="A46" i="1"/>
  <c r="A15" i="1"/>
  <c r="A20" i="1"/>
  <c r="A26" i="1"/>
  <c r="A31" i="1"/>
  <c r="A36" i="1"/>
  <c r="A42" i="1"/>
  <c r="A48" i="1"/>
  <c r="P202" i="2"/>
  <c r="Q202" i="2" s="1"/>
  <c r="P204" i="2"/>
  <c r="Q204" i="2" s="1"/>
  <c r="P172" i="2"/>
  <c r="Q172" i="2" s="1"/>
  <c r="P175" i="2"/>
  <c r="Q175" i="2" s="1"/>
  <c r="P167" i="2"/>
  <c r="Q167" i="2" s="1"/>
  <c r="P174" i="2"/>
  <c r="Q174" i="2" s="1"/>
  <c r="P143" i="2"/>
  <c r="Q143" i="2" s="1"/>
  <c r="P139" i="2"/>
  <c r="Q139" i="2" s="1"/>
  <c r="P135" i="2"/>
  <c r="Q135" i="2" s="1"/>
  <c r="P203" i="2"/>
  <c r="Q203" i="2" s="1"/>
  <c r="P125" i="2"/>
  <c r="Q125" i="2" s="1"/>
  <c r="X125" i="2" s="1"/>
  <c r="P124" i="2"/>
  <c r="Q124" i="2" s="1"/>
  <c r="X124" i="2" s="1"/>
  <c r="P108" i="2"/>
  <c r="Q108" i="2" s="1"/>
  <c r="X108" i="2" s="1"/>
  <c r="P119" i="2"/>
  <c r="Q119" i="2" s="1"/>
  <c r="X119" i="2" s="1"/>
  <c r="P117" i="2"/>
  <c r="Q117" i="2" s="1"/>
  <c r="X117" i="2" s="1"/>
  <c r="P105" i="2"/>
  <c r="Q105" i="2" s="1"/>
  <c r="X105" i="2" s="1"/>
  <c r="P87" i="2"/>
  <c r="Q87" i="2" s="1"/>
  <c r="X87" i="2" s="1"/>
  <c r="P83" i="2"/>
  <c r="Q83" i="2" s="1"/>
  <c r="X83" i="2" s="1"/>
  <c r="P78" i="2"/>
  <c r="Q78" i="2" s="1"/>
  <c r="X78" i="2" s="1"/>
  <c r="P81" i="2"/>
  <c r="Q81" i="2" s="1"/>
  <c r="X81" i="2" s="1"/>
  <c r="P77" i="2"/>
  <c r="Q77" i="2" s="1"/>
  <c r="X77" i="2" s="1"/>
  <c r="L41" i="2"/>
  <c r="L26" i="2"/>
  <c r="L21" i="2"/>
  <c r="L16" i="2" s="1"/>
  <c r="D30" i="2" s="1"/>
  <c r="A30" i="1"/>
  <c r="A12" i="1"/>
  <c r="A16" i="1"/>
  <c r="A22" i="1"/>
  <c r="A27" i="1"/>
  <c r="A32" i="1"/>
  <c r="A38" i="1"/>
  <c r="A43" i="1"/>
  <c r="A50" i="1"/>
  <c r="L24" i="2"/>
  <c r="D59" i="2"/>
  <c r="D60" i="2"/>
  <c r="P199" i="2"/>
  <c r="Q199" i="2" s="1"/>
  <c r="P168" i="2"/>
  <c r="Q168" i="2" s="1"/>
  <c r="P170" i="2"/>
  <c r="Q170" i="2" s="1"/>
  <c r="P142" i="2"/>
  <c r="Q142" i="2" s="1"/>
  <c r="P137" i="2"/>
  <c r="Q137" i="2" s="1"/>
  <c r="P140" i="2"/>
  <c r="Q140" i="2" s="1"/>
  <c r="P126" i="2"/>
  <c r="Q126" i="2" s="1"/>
  <c r="X126" i="2" s="1"/>
  <c r="P136" i="2"/>
  <c r="Q136" i="2" s="1"/>
  <c r="P123" i="2"/>
  <c r="Q123" i="2" s="1"/>
  <c r="X123" i="2" s="1"/>
  <c r="P94" i="2"/>
  <c r="Q94" i="2" s="1"/>
  <c r="X94" i="2" s="1"/>
  <c r="P122" i="2"/>
  <c r="Q122" i="2" s="1"/>
  <c r="X122" i="2" s="1"/>
  <c r="P114" i="2"/>
  <c r="Q114" i="2" s="1"/>
  <c r="X114" i="2" s="1"/>
  <c r="P110" i="2"/>
  <c r="Q110" i="2" s="1"/>
  <c r="X110" i="2" s="1"/>
  <c r="P113" i="2"/>
  <c r="Q113" i="2" s="1"/>
  <c r="X113" i="2" s="1"/>
  <c r="P205" i="2"/>
  <c r="Q205" i="2" s="1"/>
  <c r="P197" i="2"/>
  <c r="Q197" i="2" s="1"/>
  <c r="P169" i="2"/>
  <c r="Q169" i="2" s="1"/>
  <c r="P165" i="2"/>
  <c r="Q165" i="2" s="1"/>
  <c r="P134" i="2"/>
  <c r="Q134" i="2" s="1"/>
  <c r="P145" i="2"/>
  <c r="Q145" i="2" s="1"/>
  <c r="P173" i="2"/>
  <c r="Q173" i="2" s="1"/>
  <c r="P112" i="2"/>
  <c r="Q112" i="2" s="1"/>
  <c r="X112" i="2" s="1"/>
  <c r="P111" i="2"/>
  <c r="Q111" i="2" s="1"/>
  <c r="X111" i="2" s="1"/>
  <c r="P118" i="2"/>
  <c r="Q118" i="2" s="1"/>
  <c r="X118" i="2" s="1"/>
  <c r="P86" i="2"/>
  <c r="Q86" i="2" s="1"/>
  <c r="X86" i="2" s="1"/>
  <c r="P90" i="2"/>
  <c r="Q90" i="2" s="1"/>
  <c r="X90" i="2" s="1"/>
  <c r="B52" i="2"/>
  <c r="D58" i="2"/>
  <c r="D64" i="2"/>
  <c r="D65" i="2"/>
  <c r="D66" i="2"/>
  <c r="D67" i="2"/>
  <c r="D68" i="2"/>
  <c r="D61" i="2"/>
  <c r="L223" i="2"/>
  <c r="L226" i="2"/>
  <c r="L222" i="2"/>
  <c r="F5" i="1" l="1"/>
  <c r="F58" i="2"/>
  <c r="M4" i="1"/>
  <c r="P159" i="2"/>
  <c r="T159" i="2" s="1"/>
  <c r="X145" i="2"/>
  <c r="P211" i="2"/>
  <c r="T211" i="2" s="1"/>
  <c r="U211" i="2" s="1"/>
  <c r="X197" i="2"/>
  <c r="P150" i="2"/>
  <c r="T150" i="2" s="1"/>
  <c r="X136" i="2"/>
  <c r="P156" i="2"/>
  <c r="T156" i="2" s="1"/>
  <c r="X142" i="2"/>
  <c r="M6" i="1"/>
  <c r="P157" i="2"/>
  <c r="T157" i="2" s="1"/>
  <c r="X143" i="2"/>
  <c r="P186" i="2"/>
  <c r="T186" i="2" s="1"/>
  <c r="X172" i="2"/>
  <c r="P180" i="2"/>
  <c r="T180" i="2" s="1"/>
  <c r="X166" i="2"/>
  <c r="P178" i="2"/>
  <c r="T178" i="2" s="1"/>
  <c r="X164" i="2"/>
  <c r="P212" i="2"/>
  <c r="T212" i="2" s="1"/>
  <c r="U212" i="2" s="1"/>
  <c r="X198" i="2"/>
  <c r="K193" i="2"/>
  <c r="I193" i="2"/>
  <c r="T193" i="2"/>
  <c r="B193" i="2"/>
  <c r="R163" i="2"/>
  <c r="R193" i="2"/>
  <c r="K163" i="2"/>
  <c r="I163" i="2"/>
  <c r="T133" i="2"/>
  <c r="B133" i="2"/>
  <c r="T163" i="2"/>
  <c r="R133" i="2"/>
  <c r="R134" i="2" s="1"/>
  <c r="S134" i="2" s="1"/>
  <c r="B163" i="2"/>
  <c r="K133" i="2"/>
  <c r="I104" i="2"/>
  <c r="I133" i="2"/>
  <c r="T104" i="2"/>
  <c r="B104" i="2"/>
  <c r="R104" i="2"/>
  <c r="K75" i="2"/>
  <c r="K104" i="2"/>
  <c r="I75" i="2"/>
  <c r="T75" i="2"/>
  <c r="B75" i="2"/>
  <c r="R75" i="2"/>
  <c r="P148" i="2"/>
  <c r="T148" i="2" s="1"/>
  <c r="X134" i="2"/>
  <c r="P219" i="2"/>
  <c r="T219" i="2" s="1"/>
  <c r="U219" i="2" s="1"/>
  <c r="X205" i="2"/>
  <c r="P184" i="2"/>
  <c r="T184" i="2" s="1"/>
  <c r="X170" i="2"/>
  <c r="M5" i="1"/>
  <c r="P217" i="2"/>
  <c r="T217" i="2" s="1"/>
  <c r="U217" i="2" s="1"/>
  <c r="X203" i="2"/>
  <c r="P188" i="2"/>
  <c r="T188" i="2" s="1"/>
  <c r="X174" i="2"/>
  <c r="X204" i="2"/>
  <c r="P218" i="2"/>
  <c r="T218" i="2" s="1"/>
  <c r="U218" i="2" s="1"/>
  <c r="F7" i="1"/>
  <c r="B64" i="2"/>
  <c r="P208" i="2"/>
  <c r="T208" i="2" s="1"/>
  <c r="U208" i="2" s="1"/>
  <c r="X194" i="2"/>
  <c r="X196" i="2"/>
  <c r="P210" i="2"/>
  <c r="T210" i="2" s="1"/>
  <c r="U210" i="2" s="1"/>
  <c r="M7" i="1"/>
  <c r="P179" i="2"/>
  <c r="T179" i="2" s="1"/>
  <c r="X165" i="2"/>
  <c r="P154" i="2"/>
  <c r="T154" i="2" s="1"/>
  <c r="X140" i="2"/>
  <c r="P182" i="2"/>
  <c r="T182" i="2" s="1"/>
  <c r="X168" i="2"/>
  <c r="P149" i="2"/>
  <c r="T149" i="2" s="1"/>
  <c r="X135" i="2"/>
  <c r="P181" i="2"/>
  <c r="T181" i="2" s="1"/>
  <c r="X167" i="2"/>
  <c r="P216" i="2"/>
  <c r="T216" i="2" s="1"/>
  <c r="U216" i="2" s="1"/>
  <c r="X202" i="2"/>
  <c r="F55" i="2"/>
  <c r="E56" i="2" s="1"/>
  <c r="P155" i="2"/>
  <c r="T155" i="2" s="1"/>
  <c r="X141" i="2"/>
  <c r="P185" i="2"/>
  <c r="T185" i="2" s="1"/>
  <c r="X171" i="2"/>
  <c r="P214" i="2"/>
  <c r="T214" i="2" s="1"/>
  <c r="U214" i="2" s="1"/>
  <c r="X200" i="2"/>
  <c r="F64" i="2"/>
  <c r="E65" i="2" s="1"/>
  <c r="I4" i="1" a="1"/>
  <c r="P187" i="2"/>
  <c r="T187" i="2" s="1"/>
  <c r="X173" i="2"/>
  <c r="P183" i="2"/>
  <c r="T183" i="2" s="1"/>
  <c r="X169" i="2"/>
  <c r="P151" i="2"/>
  <c r="T151" i="2" s="1"/>
  <c r="X137" i="2"/>
  <c r="P213" i="2"/>
  <c r="T213" i="2" s="1"/>
  <c r="U213" i="2" s="1"/>
  <c r="X199" i="2"/>
  <c r="P153" i="2"/>
  <c r="T153" i="2" s="1"/>
  <c r="X139" i="2"/>
  <c r="P189" i="2"/>
  <c r="T189" i="2" s="1"/>
  <c r="X175" i="2"/>
  <c r="F6" i="1"/>
  <c r="P158" i="2"/>
  <c r="T158" i="2" s="1"/>
  <c r="X144" i="2"/>
  <c r="P152" i="2"/>
  <c r="T152" i="2" s="1"/>
  <c r="X138" i="2"/>
  <c r="P209" i="2"/>
  <c r="T209" i="2" s="1"/>
  <c r="U209" i="2" s="1"/>
  <c r="X195" i="2"/>
  <c r="P215" i="2"/>
  <c r="T215" i="2" s="1"/>
  <c r="U215" i="2" s="1"/>
  <c r="X201" i="2"/>
  <c r="F8" i="1" l="1"/>
  <c r="B98" i="2"/>
  <c r="B97" i="2"/>
  <c r="B100" i="2"/>
  <c r="B96" i="2"/>
  <c r="B94" i="2"/>
  <c r="B91" i="2"/>
  <c r="B87" i="2"/>
  <c r="B83" i="2"/>
  <c r="B79" i="2"/>
  <c r="B90" i="2"/>
  <c r="B86" i="2"/>
  <c r="B82" i="2"/>
  <c r="B78" i="2"/>
  <c r="B76" i="2"/>
  <c r="B99" i="2"/>
  <c r="B93" i="2"/>
  <c r="B89" i="2"/>
  <c r="B85" i="2"/>
  <c r="B81" i="2"/>
  <c r="B77" i="2"/>
  <c r="B95" i="2"/>
  <c r="B92" i="2"/>
  <c r="B88" i="2"/>
  <c r="B84" i="2"/>
  <c r="B80" i="2"/>
  <c r="B215" i="2"/>
  <c r="B211" i="2"/>
  <c r="B218" i="2"/>
  <c r="B214" i="2"/>
  <c r="B210" i="2"/>
  <c r="B216" i="2"/>
  <c r="B208" i="2"/>
  <c r="B206" i="2"/>
  <c r="B205" i="2"/>
  <c r="B201" i="2"/>
  <c r="B197" i="2"/>
  <c r="B217" i="2"/>
  <c r="B209" i="2"/>
  <c r="B207" i="2"/>
  <c r="B204" i="2"/>
  <c r="B200" i="2"/>
  <c r="B196" i="2"/>
  <c r="B212" i="2"/>
  <c r="B203" i="2"/>
  <c r="B199" i="2"/>
  <c r="B195" i="2"/>
  <c r="B202" i="2"/>
  <c r="B194" i="2"/>
  <c r="B213" i="2"/>
  <c r="B198" i="2"/>
  <c r="J5" i="1"/>
  <c r="T99" i="2"/>
  <c r="T95" i="2"/>
  <c r="T98" i="2"/>
  <c r="T94" i="2"/>
  <c r="T97" i="2"/>
  <c r="T93" i="2"/>
  <c r="T96" i="2"/>
  <c r="T92" i="2"/>
  <c r="T88" i="2"/>
  <c r="T84" i="2"/>
  <c r="T80" i="2"/>
  <c r="T76" i="2"/>
  <c r="T91" i="2"/>
  <c r="T87" i="2"/>
  <c r="T83" i="2"/>
  <c r="T79" i="2"/>
  <c r="T90" i="2"/>
  <c r="T86" i="2"/>
  <c r="T82" i="2"/>
  <c r="T78" i="2"/>
  <c r="T100" i="2"/>
  <c r="T89" i="2"/>
  <c r="T85" i="2"/>
  <c r="T81" i="2"/>
  <c r="T77" i="2"/>
  <c r="R129" i="2"/>
  <c r="S129" i="2" s="1"/>
  <c r="R125" i="2"/>
  <c r="S125" i="2" s="1"/>
  <c r="R128" i="2"/>
  <c r="S128" i="2" s="1"/>
  <c r="R127" i="2"/>
  <c r="S127" i="2" s="1"/>
  <c r="R126" i="2"/>
  <c r="S126" i="2" s="1"/>
  <c r="R122" i="2"/>
  <c r="S122" i="2" s="1"/>
  <c r="R118" i="2"/>
  <c r="S118" i="2" s="1"/>
  <c r="R114" i="2"/>
  <c r="S114" i="2" s="1"/>
  <c r="R110" i="2"/>
  <c r="S110" i="2" s="1"/>
  <c r="R106" i="2"/>
  <c r="S106" i="2" s="1"/>
  <c r="R121" i="2"/>
  <c r="S121" i="2" s="1"/>
  <c r="R117" i="2"/>
  <c r="S117" i="2" s="1"/>
  <c r="R113" i="2"/>
  <c r="S113" i="2" s="1"/>
  <c r="R109" i="2"/>
  <c r="S109" i="2" s="1"/>
  <c r="R105" i="2"/>
  <c r="S105" i="2" s="1"/>
  <c r="R124" i="2"/>
  <c r="S124" i="2" s="1"/>
  <c r="R120" i="2"/>
  <c r="S120" i="2" s="1"/>
  <c r="R116" i="2"/>
  <c r="S116" i="2" s="1"/>
  <c r="R112" i="2"/>
  <c r="S112" i="2" s="1"/>
  <c r="R108" i="2"/>
  <c r="S108" i="2" s="1"/>
  <c r="R123" i="2"/>
  <c r="S123" i="2" s="1"/>
  <c r="R119" i="2"/>
  <c r="S119" i="2" s="1"/>
  <c r="R115" i="2"/>
  <c r="S115" i="2" s="1"/>
  <c r="R111" i="2"/>
  <c r="S111" i="2" s="1"/>
  <c r="R107" i="2"/>
  <c r="S107" i="2" s="1"/>
  <c r="T172" i="2"/>
  <c r="T168" i="2"/>
  <c r="T164" i="2"/>
  <c r="T175" i="2"/>
  <c r="T171" i="2"/>
  <c r="T167" i="2"/>
  <c r="T174" i="2"/>
  <c r="T170" i="2"/>
  <c r="T166" i="2"/>
  <c r="T165" i="2"/>
  <c r="T173" i="2"/>
  <c r="T169" i="2"/>
  <c r="T205" i="2"/>
  <c r="T202" i="2"/>
  <c r="T198" i="2"/>
  <c r="T201" i="2"/>
  <c r="T197" i="2"/>
  <c r="T204" i="2"/>
  <c r="T200" i="2"/>
  <c r="T196" i="2"/>
  <c r="T195" i="2"/>
  <c r="T203" i="2"/>
  <c r="T194" i="2"/>
  <c r="T199" i="2"/>
  <c r="I6" i="1"/>
  <c r="I7" i="1"/>
  <c r="I9" i="1"/>
  <c r="I5" i="1"/>
  <c r="I4" i="1"/>
  <c r="I8" i="1"/>
  <c r="K221" i="2" a="1"/>
  <c r="F56" i="2"/>
  <c r="F9" i="1" s="1"/>
  <c r="B126" i="2"/>
  <c r="B129" i="2"/>
  <c r="B128" i="2"/>
  <c r="B123" i="2"/>
  <c r="B119" i="2"/>
  <c r="B115" i="2"/>
  <c r="B111" i="2"/>
  <c r="B107" i="2"/>
  <c r="B105" i="2"/>
  <c r="B122" i="2"/>
  <c r="B118" i="2"/>
  <c r="B114" i="2"/>
  <c r="B110" i="2"/>
  <c r="B106" i="2"/>
  <c r="B127" i="2"/>
  <c r="B125" i="2"/>
  <c r="B121" i="2"/>
  <c r="B117" i="2"/>
  <c r="B113" i="2"/>
  <c r="B109" i="2"/>
  <c r="B124" i="2"/>
  <c r="B120" i="2"/>
  <c r="B116" i="2"/>
  <c r="B112" i="2"/>
  <c r="B108" i="2"/>
  <c r="B156" i="2"/>
  <c r="B152" i="2"/>
  <c r="B148" i="2"/>
  <c r="B146" i="2"/>
  <c r="B142" i="2"/>
  <c r="B155" i="2"/>
  <c r="B151" i="2"/>
  <c r="B147" i="2"/>
  <c r="B145" i="2"/>
  <c r="B141" i="2"/>
  <c r="B137" i="2"/>
  <c r="B158" i="2"/>
  <c r="B154" i="2"/>
  <c r="B150" i="2"/>
  <c r="B144" i="2"/>
  <c r="B140" i="2"/>
  <c r="B136" i="2"/>
  <c r="B149" i="2"/>
  <c r="B143" i="2"/>
  <c r="B157" i="2"/>
  <c r="B139" i="2"/>
  <c r="B138" i="2"/>
  <c r="B153" i="2"/>
  <c r="B135" i="2"/>
  <c r="B134" i="2"/>
  <c r="R205" i="2"/>
  <c r="S205" i="2" s="1"/>
  <c r="R204" i="2"/>
  <c r="S204" i="2" s="1"/>
  <c r="R200" i="2"/>
  <c r="S200" i="2" s="1"/>
  <c r="R196" i="2"/>
  <c r="S196" i="2" s="1"/>
  <c r="R203" i="2"/>
  <c r="S203" i="2" s="1"/>
  <c r="R199" i="2"/>
  <c r="S199" i="2" s="1"/>
  <c r="R195" i="2"/>
  <c r="S195" i="2" s="1"/>
  <c r="R202" i="2"/>
  <c r="S202" i="2" s="1"/>
  <c r="R198" i="2"/>
  <c r="S198" i="2" s="1"/>
  <c r="R194" i="2"/>
  <c r="S194" i="2" s="1"/>
  <c r="R197" i="2"/>
  <c r="S197" i="2" s="1"/>
  <c r="R201" i="2"/>
  <c r="S201" i="2" s="1"/>
  <c r="E59" i="2"/>
  <c r="N4" i="1"/>
  <c r="B65" i="2"/>
  <c r="F65" i="2"/>
  <c r="E66" i="2" s="1"/>
  <c r="R145" i="2"/>
  <c r="S145" i="2" s="1"/>
  <c r="R141" i="2"/>
  <c r="S141" i="2" s="1"/>
  <c r="R144" i="2"/>
  <c r="S144" i="2" s="1"/>
  <c r="R140" i="2"/>
  <c r="S140" i="2" s="1"/>
  <c r="R136" i="2"/>
  <c r="S136" i="2" s="1"/>
  <c r="R143" i="2"/>
  <c r="S143" i="2" s="1"/>
  <c r="R139" i="2"/>
  <c r="S139" i="2" s="1"/>
  <c r="R135" i="2"/>
  <c r="S135" i="2" s="1"/>
  <c r="R138" i="2"/>
  <c r="S138" i="2" s="1"/>
  <c r="R137" i="2"/>
  <c r="S137" i="2" s="1"/>
  <c r="R142" i="2"/>
  <c r="S142" i="2" s="1"/>
  <c r="R97" i="2"/>
  <c r="S97" i="2" s="1"/>
  <c r="R100" i="2"/>
  <c r="S100" i="2" s="1"/>
  <c r="R96" i="2"/>
  <c r="S96" i="2" s="1"/>
  <c r="R99" i="2"/>
  <c r="S99" i="2" s="1"/>
  <c r="R95" i="2"/>
  <c r="S95" i="2" s="1"/>
  <c r="R98" i="2"/>
  <c r="S98" i="2" s="1"/>
  <c r="R90" i="2"/>
  <c r="S90" i="2" s="1"/>
  <c r="R86" i="2"/>
  <c r="S86" i="2" s="1"/>
  <c r="R82" i="2"/>
  <c r="S82" i="2" s="1"/>
  <c r="R78" i="2"/>
  <c r="S78" i="2" s="1"/>
  <c r="R89" i="2"/>
  <c r="S89" i="2" s="1"/>
  <c r="R85" i="2"/>
  <c r="S85" i="2" s="1"/>
  <c r="R81" i="2"/>
  <c r="S81" i="2" s="1"/>
  <c r="R77" i="2"/>
  <c r="S77" i="2" s="1"/>
  <c r="R94" i="2"/>
  <c r="S94" i="2" s="1"/>
  <c r="R93" i="2"/>
  <c r="S93" i="2" s="1"/>
  <c r="R92" i="2"/>
  <c r="S92" i="2" s="1"/>
  <c r="R88" i="2"/>
  <c r="S88" i="2" s="1"/>
  <c r="R84" i="2"/>
  <c r="S84" i="2" s="1"/>
  <c r="R80" i="2"/>
  <c r="S80" i="2" s="1"/>
  <c r="R76" i="2"/>
  <c r="S76" i="2" s="1"/>
  <c r="R91" i="2"/>
  <c r="S91" i="2" s="1"/>
  <c r="R87" i="2"/>
  <c r="S87" i="2" s="1"/>
  <c r="R83" i="2"/>
  <c r="S83" i="2" s="1"/>
  <c r="R79" i="2"/>
  <c r="S79" i="2" s="1"/>
  <c r="T127" i="2"/>
  <c r="T126" i="2"/>
  <c r="T129" i="2"/>
  <c r="T125" i="2"/>
  <c r="T124" i="2"/>
  <c r="T120" i="2"/>
  <c r="T116" i="2"/>
  <c r="T112" i="2"/>
  <c r="T108" i="2"/>
  <c r="T123" i="2"/>
  <c r="T119" i="2"/>
  <c r="T115" i="2"/>
  <c r="T111" i="2"/>
  <c r="T107" i="2"/>
  <c r="T122" i="2"/>
  <c r="T118" i="2"/>
  <c r="T114" i="2"/>
  <c r="T110" i="2"/>
  <c r="T106" i="2"/>
  <c r="T128" i="2"/>
  <c r="T121" i="2"/>
  <c r="T117" i="2"/>
  <c r="T113" i="2"/>
  <c r="T109" i="2"/>
  <c r="T105" i="2"/>
  <c r="B185" i="2"/>
  <c r="B181" i="2"/>
  <c r="B177" i="2"/>
  <c r="B175" i="2"/>
  <c r="B171" i="2"/>
  <c r="B167" i="2"/>
  <c r="B188" i="2"/>
  <c r="B184" i="2"/>
  <c r="B180" i="2"/>
  <c r="B174" i="2"/>
  <c r="B170" i="2"/>
  <c r="B166" i="2"/>
  <c r="B187" i="2"/>
  <c r="B183" i="2"/>
  <c r="B179" i="2"/>
  <c r="B173" i="2"/>
  <c r="B169" i="2"/>
  <c r="B165" i="2"/>
  <c r="B176" i="2"/>
  <c r="B186" i="2"/>
  <c r="B172" i="2"/>
  <c r="B182" i="2"/>
  <c r="B168" i="2"/>
  <c r="B164" i="2"/>
  <c r="B178" i="2"/>
  <c r="T143" i="2"/>
  <c r="T139" i="2"/>
  <c r="T142" i="2"/>
  <c r="T138" i="2"/>
  <c r="T134" i="2"/>
  <c r="T145" i="2"/>
  <c r="T141" i="2"/>
  <c r="T137" i="2"/>
  <c r="T136" i="2"/>
  <c r="T144" i="2"/>
  <c r="T135" i="2"/>
  <c r="T140" i="2"/>
  <c r="R174" i="2"/>
  <c r="S174" i="2" s="1"/>
  <c r="R170" i="2"/>
  <c r="S170" i="2" s="1"/>
  <c r="R166" i="2"/>
  <c r="S166" i="2" s="1"/>
  <c r="R173" i="2"/>
  <c r="S173" i="2" s="1"/>
  <c r="R169" i="2"/>
  <c r="S169" i="2" s="1"/>
  <c r="R165" i="2"/>
  <c r="S165" i="2" s="1"/>
  <c r="R172" i="2"/>
  <c r="S172" i="2" s="1"/>
  <c r="R168" i="2"/>
  <c r="S168" i="2" s="1"/>
  <c r="R164" i="2"/>
  <c r="S164" i="2" s="1"/>
  <c r="R167" i="2"/>
  <c r="S167" i="2" s="1"/>
  <c r="R175" i="2"/>
  <c r="S175" i="2" s="1"/>
  <c r="R171" i="2"/>
  <c r="S171" i="2" s="1"/>
  <c r="J6" i="1" l="1"/>
  <c r="B66" i="2"/>
  <c r="F66" i="2"/>
  <c r="E67" i="2" s="1"/>
  <c r="F59" i="2"/>
  <c r="E60" i="2" s="1"/>
  <c r="K226" i="2"/>
  <c r="K222" i="2"/>
  <c r="K225" i="2"/>
  <c r="K223" i="2"/>
  <c r="K221" i="2"/>
  <c r="K224" i="2"/>
  <c r="B222" i="2" l="1" a="1"/>
  <c r="B256" i="2" s="1"/>
  <c r="F60" i="2"/>
  <c r="U100" i="2" s="1"/>
  <c r="V100" i="2" s="1"/>
  <c r="W100" i="2" s="1"/>
  <c r="U87" i="2"/>
  <c r="U90" i="2"/>
  <c r="U204" i="2"/>
  <c r="U194" i="2"/>
  <c r="U138" i="2"/>
  <c r="U79" i="2"/>
  <c r="U201" i="2"/>
  <c r="U142" i="2"/>
  <c r="U125" i="2"/>
  <c r="B67" i="2"/>
  <c r="F67" i="2"/>
  <c r="E68" i="2" s="1"/>
  <c r="U196" i="2"/>
  <c r="U134" i="2"/>
  <c r="U91" i="2"/>
  <c r="N5" i="1"/>
  <c r="U95" i="2"/>
  <c r="U202" i="2"/>
  <c r="U127" i="2"/>
  <c r="U200" i="2"/>
  <c r="J7" i="1"/>
  <c r="U92" i="2"/>
  <c r="U171" i="2"/>
  <c r="U199" i="2"/>
  <c r="U110" i="2" l="1"/>
  <c r="U175" i="2"/>
  <c r="U117" i="2"/>
  <c r="V117" i="2" s="1"/>
  <c r="U93" i="2"/>
  <c r="Y93" i="2" s="1"/>
  <c r="U126" i="2"/>
  <c r="U82" i="2"/>
  <c r="U120" i="2"/>
  <c r="V120" i="2" s="1"/>
  <c r="U98" i="2"/>
  <c r="V98" i="2" s="1"/>
  <c r="W98" i="2" s="1"/>
  <c r="U107" i="2"/>
  <c r="U139" i="2"/>
  <c r="U140" i="2"/>
  <c r="V140" i="2" s="1"/>
  <c r="U143" i="2"/>
  <c r="V143" i="2" s="1"/>
  <c r="U141" i="2"/>
  <c r="U85" i="2"/>
  <c r="V85" i="2" s="1"/>
  <c r="W85" i="2" s="1"/>
  <c r="U118" i="2"/>
  <c r="V118" i="2" s="1"/>
  <c r="B244" i="2"/>
  <c r="U109" i="2"/>
  <c r="B259" i="2"/>
  <c r="U123" i="2"/>
  <c r="V123" i="2" s="1"/>
  <c r="U136" i="2"/>
  <c r="V136" i="2" s="1"/>
  <c r="U112" i="2"/>
  <c r="B251" i="2"/>
  <c r="U137" i="2"/>
  <c r="V137" i="2" s="1"/>
  <c r="U173" i="2"/>
  <c r="V173" i="2" s="1"/>
  <c r="U172" i="2"/>
  <c r="U115" i="2"/>
  <c r="V115" i="2" s="1"/>
  <c r="U106" i="2"/>
  <c r="V106" i="2" s="1"/>
  <c r="B222" i="2"/>
  <c r="U94" i="2"/>
  <c r="U116" i="2"/>
  <c r="V116" i="2" s="1"/>
  <c r="Y100" i="2"/>
  <c r="U84" i="2"/>
  <c r="U144" i="2"/>
  <c r="U121" i="2"/>
  <c r="V121" i="2" s="1"/>
  <c r="U99" i="2"/>
  <c r="V99" i="2" s="1"/>
  <c r="W99" i="2" s="1"/>
  <c r="U86" i="2"/>
  <c r="V86" i="2" s="1"/>
  <c r="W86" i="2" s="1"/>
  <c r="U129" i="2"/>
  <c r="U114" i="2"/>
  <c r="V114" i="2" s="1"/>
  <c r="U165" i="2"/>
  <c r="V165" i="2" s="1"/>
  <c r="B255" i="2"/>
  <c r="U122" i="2"/>
  <c r="U83" i="2"/>
  <c r="Y83" i="2" s="1"/>
  <c r="U170" i="2"/>
  <c r="V170" i="2" s="1"/>
  <c r="U205" i="2"/>
  <c r="V205" i="2" s="1"/>
  <c r="U128" i="2"/>
  <c r="B241" i="2"/>
  <c r="B237" i="2"/>
  <c r="B227" i="2"/>
  <c r="B262" i="2"/>
  <c r="B253" i="2"/>
  <c r="B254" i="2"/>
  <c r="B235" i="2"/>
  <c r="B260" i="2"/>
  <c r="B234" i="2"/>
  <c r="B228" i="2"/>
  <c r="U81" i="2"/>
  <c r="Y81" i="2" s="1"/>
  <c r="B249" i="2"/>
  <c r="B250" i="2"/>
  <c r="B238" i="2"/>
  <c r="B243" i="2"/>
  <c r="B236" i="2"/>
  <c r="U78" i="2"/>
  <c r="Y78" i="2" s="1"/>
  <c r="U119" i="2"/>
  <c r="V119" i="2" s="1"/>
  <c r="U76" i="2"/>
  <c r="V76" i="2" s="1"/>
  <c r="W76" i="2" s="1"/>
  <c r="U124" i="2"/>
  <c r="V124" i="2" s="1"/>
  <c r="U80" i="2"/>
  <c r="U167" i="2"/>
  <c r="V167" i="2" s="1"/>
  <c r="B225" i="2"/>
  <c r="B226" i="2"/>
  <c r="B261" i="2"/>
  <c r="B245" i="2"/>
  <c r="B246" i="2"/>
  <c r="B231" i="2"/>
  <c r="B247" i="2"/>
  <c r="B224" i="2"/>
  <c r="B240" i="2"/>
  <c r="B258" i="2"/>
  <c r="U113" i="2"/>
  <c r="V113" i="2" s="1"/>
  <c r="U108" i="2"/>
  <c r="V108" i="2" s="1"/>
  <c r="U88" i="2"/>
  <c r="B252" i="2"/>
  <c r="U89" i="2"/>
  <c r="Y89" i="2" s="1"/>
  <c r="B233" i="2"/>
  <c r="B242" i="2"/>
  <c r="B229" i="2"/>
  <c r="B230" i="2"/>
  <c r="B223" i="2"/>
  <c r="B239" i="2"/>
  <c r="B257" i="2"/>
  <c r="B232" i="2"/>
  <c r="B248" i="2"/>
  <c r="U105" i="2"/>
  <c r="V105" i="2" s="1"/>
  <c r="J8" i="1"/>
  <c r="U111" i="2"/>
  <c r="V111" i="2" s="1"/>
  <c r="U166" i="2"/>
  <c r="V166" i="2" s="1"/>
  <c r="U96" i="2"/>
  <c r="Y96" i="2" s="1"/>
  <c r="U164" i="2"/>
  <c r="V164" i="2" s="1"/>
  <c r="U174" i="2"/>
  <c r="V174" i="2" s="1"/>
  <c r="U198" i="2"/>
  <c r="V198" i="2" s="1"/>
  <c r="W198" i="2" s="1"/>
  <c r="U135" i="2"/>
  <c r="V135" i="2" s="1"/>
  <c r="U197" i="2"/>
  <c r="V197" i="2" s="1"/>
  <c r="U145" i="2"/>
  <c r="V145" i="2" s="1"/>
  <c r="U77" i="2"/>
  <c r="U203" i="2"/>
  <c r="V203" i="2" s="1"/>
  <c r="V129" i="2"/>
  <c r="V171" i="2"/>
  <c r="V200" i="2"/>
  <c r="W200" i="2" s="1"/>
  <c r="V95" i="2"/>
  <c r="W95" i="2" s="1"/>
  <c r="Y95" i="2"/>
  <c r="V122" i="2"/>
  <c r="V94" i="2"/>
  <c r="W94" i="2" s="1"/>
  <c r="Y94" i="2"/>
  <c r="V138" i="2"/>
  <c r="V204" i="2"/>
  <c r="W204" i="2" s="1"/>
  <c r="V90" i="2"/>
  <c r="W90" i="2" s="1"/>
  <c r="Y90" i="2"/>
  <c r="E61" i="2"/>
  <c r="U195" i="2"/>
  <c r="U169" i="2"/>
  <c r="U168" i="2"/>
  <c r="U97" i="2"/>
  <c r="V110" i="2"/>
  <c r="V175" i="2"/>
  <c r="V127" i="2"/>
  <c r="V109" i="2"/>
  <c r="V196" i="2"/>
  <c r="W196" i="2" s="1"/>
  <c r="C194" i="2" a="1"/>
  <c r="V201" i="2"/>
  <c r="W201" i="2" s="1"/>
  <c r="N6" i="1"/>
  <c r="V126" i="2"/>
  <c r="V82" i="2"/>
  <c r="W82" i="2" s="1"/>
  <c r="Y82" i="2"/>
  <c r="V202" i="2"/>
  <c r="V112" i="2"/>
  <c r="V172" i="2"/>
  <c r="V107" i="2"/>
  <c r="V142" i="2"/>
  <c r="V144" i="2"/>
  <c r="V194" i="2"/>
  <c r="W194" i="2" s="1"/>
  <c r="V87" i="2"/>
  <c r="W87" i="2" s="1"/>
  <c r="Y87" i="2"/>
  <c r="V199" i="2"/>
  <c r="V92" i="2"/>
  <c r="W92" i="2" s="1"/>
  <c r="Y92" i="2"/>
  <c r="V91" i="2"/>
  <c r="W91" i="2" s="1"/>
  <c r="Y91" i="2"/>
  <c r="V134" i="2"/>
  <c r="B68" i="2"/>
  <c r="C76" i="2" s="1" a="1"/>
  <c r="F68" i="2"/>
  <c r="J9" i="1" s="1"/>
  <c r="V125" i="2"/>
  <c r="V79" i="2"/>
  <c r="W79" i="2" s="1"/>
  <c r="Y79" i="2"/>
  <c r="V141" i="2"/>
  <c r="V139" i="2"/>
  <c r="V128" i="2"/>
  <c r="Y98" i="2" l="1"/>
  <c r="V93" i="2"/>
  <c r="W93" i="2" s="1"/>
  <c r="V81" i="2"/>
  <c r="W81" i="2" s="1"/>
  <c r="V89" i="2"/>
  <c r="W89" i="2" s="1"/>
  <c r="V96" i="2"/>
  <c r="W96" i="2" s="1"/>
  <c r="V78" i="2"/>
  <c r="W78" i="2" s="1"/>
  <c r="V83" i="2"/>
  <c r="W83" i="2" s="1"/>
  <c r="Y85" i="2"/>
  <c r="V84" i="2"/>
  <c r="W84" i="2" s="1"/>
  <c r="Y84" i="2"/>
  <c r="Y86" i="2"/>
  <c r="Y76" i="2"/>
  <c r="Y99" i="2"/>
  <c r="V80" i="2"/>
  <c r="W80" i="2" s="1"/>
  <c r="Y80" i="2"/>
  <c r="V88" i="2"/>
  <c r="W88" i="2" s="1"/>
  <c r="Y88" i="2"/>
  <c r="C105" i="2" a="1"/>
  <c r="C115" i="2" s="1"/>
  <c r="D115" i="2" s="1"/>
  <c r="H115" i="2" s="1" a="1"/>
  <c r="H115" i="2" s="1"/>
  <c r="V77" i="2"/>
  <c r="W77" i="2" s="1"/>
  <c r="Y77" i="2"/>
  <c r="C99" i="2"/>
  <c r="D99" i="2" s="1"/>
  <c r="H99" i="2" s="1" a="1"/>
  <c r="H99" i="2" s="1"/>
  <c r="C95" i="2"/>
  <c r="D95" i="2" s="1"/>
  <c r="H95" i="2" s="1" a="1"/>
  <c r="H95" i="2" s="1"/>
  <c r="C91" i="2"/>
  <c r="D91" i="2" s="1"/>
  <c r="H91" i="2" s="1" a="1"/>
  <c r="H91" i="2" s="1"/>
  <c r="C87" i="2"/>
  <c r="D87" i="2" s="1"/>
  <c r="H87" i="2" s="1" a="1"/>
  <c r="H87" i="2" s="1"/>
  <c r="C83" i="2"/>
  <c r="D83" i="2" s="1"/>
  <c r="H83" i="2" s="1" a="1"/>
  <c r="H83" i="2" s="1"/>
  <c r="C79" i="2"/>
  <c r="D79" i="2" s="1"/>
  <c r="H79" i="2" s="1" a="1"/>
  <c r="H79" i="2" s="1"/>
  <c r="C76" i="2"/>
  <c r="C98" i="2"/>
  <c r="D98" i="2" s="1"/>
  <c r="H98" i="2" s="1" a="1"/>
  <c r="H98" i="2" s="1"/>
  <c r="C94" i="2"/>
  <c r="D94" i="2" s="1"/>
  <c r="H94" i="2" s="1" a="1"/>
  <c r="H94" i="2" s="1"/>
  <c r="C90" i="2"/>
  <c r="D90" i="2" s="1"/>
  <c r="H90" i="2" s="1" a="1"/>
  <c r="H90" i="2" s="1"/>
  <c r="C86" i="2"/>
  <c r="D86" i="2" s="1"/>
  <c r="H86" i="2" s="1" a="1"/>
  <c r="H86" i="2" s="1"/>
  <c r="C82" i="2"/>
  <c r="D82" i="2" s="1"/>
  <c r="H82" i="2" s="1" a="1"/>
  <c r="H82" i="2" s="1"/>
  <c r="C78" i="2"/>
  <c r="D78" i="2" s="1"/>
  <c r="H78" i="2" s="1" a="1"/>
  <c r="H78" i="2" s="1"/>
  <c r="C97" i="2"/>
  <c r="D97" i="2" s="1"/>
  <c r="H97" i="2" s="1" a="1"/>
  <c r="H97" i="2" s="1"/>
  <c r="C93" i="2"/>
  <c r="D93" i="2" s="1"/>
  <c r="H93" i="2" s="1" a="1"/>
  <c r="H93" i="2" s="1"/>
  <c r="C89" i="2"/>
  <c r="D89" i="2" s="1"/>
  <c r="H89" i="2" s="1" a="1"/>
  <c r="H89" i="2" s="1"/>
  <c r="C85" i="2"/>
  <c r="D85" i="2" s="1"/>
  <c r="H85" i="2" s="1" a="1"/>
  <c r="H85" i="2" s="1"/>
  <c r="C81" i="2"/>
  <c r="D81" i="2" s="1"/>
  <c r="H81" i="2" s="1" a="1"/>
  <c r="H81" i="2" s="1"/>
  <c r="C77" i="2"/>
  <c r="D77" i="2" s="1"/>
  <c r="H77" i="2" s="1" a="1"/>
  <c r="H77" i="2" s="1"/>
  <c r="C100" i="2"/>
  <c r="D100" i="2" s="1"/>
  <c r="H100" i="2" s="1" a="1"/>
  <c r="H100" i="2" s="1"/>
  <c r="C96" i="2"/>
  <c r="D96" i="2" s="1"/>
  <c r="H96" i="2" s="1" a="1"/>
  <c r="H96" i="2" s="1"/>
  <c r="C92" i="2"/>
  <c r="D92" i="2" s="1"/>
  <c r="H92" i="2" s="1" a="1"/>
  <c r="H92" i="2" s="1"/>
  <c r="C88" i="2"/>
  <c r="D88" i="2" s="1"/>
  <c r="H88" i="2" s="1" a="1"/>
  <c r="H88" i="2" s="1"/>
  <c r="C84" i="2"/>
  <c r="D84" i="2" s="1"/>
  <c r="H84" i="2" s="1" a="1"/>
  <c r="H84" i="2" s="1"/>
  <c r="C80" i="2"/>
  <c r="D80" i="2" s="1"/>
  <c r="H80" i="2" s="1" a="1"/>
  <c r="H80" i="2" s="1"/>
  <c r="C134" i="2" a="1"/>
  <c r="V168" i="2"/>
  <c r="C164" i="2" a="1"/>
  <c r="V169" i="2"/>
  <c r="C127" i="2"/>
  <c r="D127" i="2" s="1"/>
  <c r="H127" i="2" s="1" a="1"/>
  <c r="H127" i="2" s="1"/>
  <c r="C119" i="2"/>
  <c r="D119" i="2" s="1"/>
  <c r="H119" i="2" s="1" a="1"/>
  <c r="H119" i="2" s="1"/>
  <c r="C217" i="2"/>
  <c r="D217" i="2" s="1"/>
  <c r="H217" i="2" s="1" a="1"/>
  <c r="H217" i="2" s="1"/>
  <c r="C213" i="2"/>
  <c r="D213" i="2" s="1"/>
  <c r="H213" i="2" s="1" a="1"/>
  <c r="H213" i="2" s="1"/>
  <c r="C209" i="2"/>
  <c r="D209" i="2" s="1"/>
  <c r="H209" i="2" s="1" a="1"/>
  <c r="H209" i="2" s="1"/>
  <c r="C205" i="2"/>
  <c r="D205" i="2" s="1"/>
  <c r="H205" i="2" s="1" a="1"/>
  <c r="H205" i="2" s="1"/>
  <c r="C201" i="2"/>
  <c r="D201" i="2" s="1"/>
  <c r="H201" i="2" s="1" a="1"/>
  <c r="H201" i="2" s="1"/>
  <c r="C197" i="2"/>
  <c r="D197" i="2" s="1"/>
  <c r="H197" i="2" s="1" a="1"/>
  <c r="H197" i="2" s="1"/>
  <c r="C194" i="2"/>
  <c r="C216" i="2"/>
  <c r="D216" i="2" s="1"/>
  <c r="H216" i="2" s="1" a="1"/>
  <c r="H216" i="2" s="1"/>
  <c r="C212" i="2"/>
  <c r="D212" i="2" s="1"/>
  <c r="H212" i="2" s="1" a="1"/>
  <c r="H212" i="2" s="1"/>
  <c r="C208" i="2"/>
  <c r="D208" i="2" s="1"/>
  <c r="H208" i="2" s="1" a="1"/>
  <c r="H208" i="2" s="1"/>
  <c r="C204" i="2"/>
  <c r="D204" i="2" s="1"/>
  <c r="H204" i="2" s="1" a="1"/>
  <c r="H204" i="2" s="1"/>
  <c r="C200" i="2"/>
  <c r="D200" i="2" s="1"/>
  <c r="H200" i="2" s="1" a="1"/>
  <c r="H200" i="2" s="1"/>
  <c r="C196" i="2"/>
  <c r="D196" i="2" s="1"/>
  <c r="H196" i="2" s="1" a="1"/>
  <c r="H196" i="2" s="1"/>
  <c r="C215" i="2"/>
  <c r="D215" i="2" s="1"/>
  <c r="H215" i="2" s="1" a="1"/>
  <c r="H215" i="2" s="1"/>
  <c r="C211" i="2"/>
  <c r="D211" i="2" s="1"/>
  <c r="H211" i="2" s="1" a="1"/>
  <c r="H211" i="2" s="1"/>
  <c r="C207" i="2"/>
  <c r="D207" i="2" s="1"/>
  <c r="H207" i="2" s="1" a="1"/>
  <c r="H207" i="2" s="1"/>
  <c r="C203" i="2"/>
  <c r="D203" i="2" s="1"/>
  <c r="H203" i="2" s="1" a="1"/>
  <c r="H203" i="2" s="1"/>
  <c r="C199" i="2"/>
  <c r="D199" i="2" s="1"/>
  <c r="H199" i="2" s="1" a="1"/>
  <c r="H199" i="2" s="1"/>
  <c r="C195" i="2"/>
  <c r="D195" i="2" s="1"/>
  <c r="H195" i="2" s="1" a="1"/>
  <c r="H195" i="2" s="1"/>
  <c r="C210" i="2"/>
  <c r="D210" i="2" s="1"/>
  <c r="H210" i="2" s="1" a="1"/>
  <c r="H210" i="2" s="1"/>
  <c r="C206" i="2"/>
  <c r="D206" i="2" s="1"/>
  <c r="H206" i="2" s="1" a="1"/>
  <c r="H206" i="2" s="1"/>
  <c r="C218" i="2"/>
  <c r="D218" i="2" s="1"/>
  <c r="H218" i="2" s="1" a="1"/>
  <c r="H218" i="2" s="1"/>
  <c r="C202" i="2"/>
  <c r="D202" i="2" s="1"/>
  <c r="H202" i="2" s="1" a="1"/>
  <c r="H202" i="2" s="1"/>
  <c r="C214" i="2"/>
  <c r="D214" i="2" s="1"/>
  <c r="H214" i="2" s="1" a="1"/>
  <c r="H214" i="2" s="1"/>
  <c r="C198" i="2"/>
  <c r="D198" i="2" s="1"/>
  <c r="H198" i="2" s="1" a="1"/>
  <c r="H198" i="2" s="1"/>
  <c r="V195" i="2"/>
  <c r="W195" i="2" s="1"/>
  <c r="V97" i="2"/>
  <c r="W97" i="2" s="1"/>
  <c r="Y97" i="2"/>
  <c r="F61" i="2"/>
  <c r="N7" i="1" s="1"/>
  <c r="C120" i="2" l="1"/>
  <c r="D120" i="2" s="1"/>
  <c r="H120" i="2" s="1" a="1"/>
  <c r="H120" i="2" s="1"/>
  <c r="C113" i="2"/>
  <c r="D113" i="2" s="1"/>
  <c r="H113" i="2" s="1" a="1"/>
  <c r="H113" i="2" s="1"/>
  <c r="C110" i="2"/>
  <c r="D110" i="2" s="1"/>
  <c r="H110" i="2" s="1" a="1"/>
  <c r="H110" i="2" s="1"/>
  <c r="C108" i="2"/>
  <c r="D108" i="2" s="1"/>
  <c r="H108" i="2" s="1" a="1"/>
  <c r="H108" i="2" s="1"/>
  <c r="C118" i="2"/>
  <c r="D118" i="2" s="1"/>
  <c r="H118" i="2" s="1" a="1"/>
  <c r="H118" i="2" s="1"/>
  <c r="C112" i="2"/>
  <c r="D112" i="2" s="1"/>
  <c r="H112" i="2" s="1" a="1"/>
  <c r="H112" i="2" s="1"/>
  <c r="C121" i="2"/>
  <c r="D121" i="2" s="1"/>
  <c r="H121" i="2" s="1" a="1"/>
  <c r="H121" i="2" s="1"/>
  <c r="C126" i="2"/>
  <c r="D126" i="2" s="1"/>
  <c r="H126" i="2" s="1" a="1"/>
  <c r="H126" i="2" s="1"/>
  <c r="C116" i="2"/>
  <c r="D116" i="2" s="1"/>
  <c r="H116" i="2" s="1" a="1"/>
  <c r="H116" i="2" s="1"/>
  <c r="C129" i="2"/>
  <c r="D129" i="2" s="1"/>
  <c r="H129" i="2" s="1" a="1"/>
  <c r="H129" i="2" s="1"/>
  <c r="C111" i="2"/>
  <c r="D111" i="2" s="1"/>
  <c r="H111" i="2" s="1" a="1"/>
  <c r="H111" i="2" s="1"/>
  <c r="G35" i="2"/>
  <c r="C128" i="2"/>
  <c r="D128" i="2" s="1"/>
  <c r="H128" i="2" s="1" a="1"/>
  <c r="H128" i="2" s="1"/>
  <c r="C109" i="2"/>
  <c r="D109" i="2" s="1"/>
  <c r="H109" i="2" s="1" a="1"/>
  <c r="H109" i="2" s="1"/>
  <c r="C125" i="2"/>
  <c r="D125" i="2" s="1"/>
  <c r="H125" i="2" s="1" a="1"/>
  <c r="H125" i="2" s="1"/>
  <c r="C114" i="2"/>
  <c r="D114" i="2" s="1"/>
  <c r="H114" i="2" s="1" a="1"/>
  <c r="H114" i="2" s="1"/>
  <c r="C107" i="2"/>
  <c r="D107" i="2" s="1"/>
  <c r="H107" i="2" s="1" a="1"/>
  <c r="H107" i="2" s="1"/>
  <c r="C123" i="2"/>
  <c r="D123" i="2" s="1"/>
  <c r="H123" i="2" s="1" a="1"/>
  <c r="H123" i="2" s="1"/>
  <c r="C124" i="2"/>
  <c r="D124" i="2" s="1"/>
  <c r="H124" i="2" s="1" a="1"/>
  <c r="H124" i="2" s="1"/>
  <c r="C105" i="2"/>
  <c r="D105" i="2" s="1"/>
  <c r="C117" i="2"/>
  <c r="D117" i="2" s="1"/>
  <c r="H117" i="2" s="1" a="1"/>
  <c r="H117" i="2" s="1"/>
  <c r="C106" i="2"/>
  <c r="D106" i="2" s="1"/>
  <c r="H106" i="2" s="1" a="1"/>
  <c r="H106" i="2" s="1"/>
  <c r="C122" i="2"/>
  <c r="D122" i="2" s="1"/>
  <c r="H122" i="2" s="1" a="1"/>
  <c r="H122" i="2" s="1"/>
  <c r="C188" i="2"/>
  <c r="D188" i="2" s="1"/>
  <c r="H188" i="2" s="1" a="1"/>
  <c r="H188" i="2" s="1"/>
  <c r="C184" i="2"/>
  <c r="D184" i="2" s="1"/>
  <c r="H184" i="2" s="1" a="1"/>
  <c r="H184" i="2" s="1"/>
  <c r="C180" i="2"/>
  <c r="D180" i="2" s="1"/>
  <c r="H180" i="2" s="1" a="1"/>
  <c r="H180" i="2" s="1"/>
  <c r="C176" i="2"/>
  <c r="D176" i="2" s="1"/>
  <c r="H176" i="2" s="1" a="1"/>
  <c r="H176" i="2" s="1"/>
  <c r="C172" i="2"/>
  <c r="D172" i="2" s="1"/>
  <c r="H172" i="2" s="1" a="1"/>
  <c r="H172" i="2" s="1"/>
  <c r="C168" i="2"/>
  <c r="D168" i="2" s="1"/>
  <c r="H168" i="2" s="1" a="1"/>
  <c r="H168" i="2" s="1"/>
  <c r="C187" i="2"/>
  <c r="D187" i="2" s="1"/>
  <c r="H187" i="2" s="1" a="1"/>
  <c r="H187" i="2" s="1"/>
  <c r="C183" i="2"/>
  <c r="D183" i="2" s="1"/>
  <c r="H183" i="2" s="1" a="1"/>
  <c r="H183" i="2" s="1"/>
  <c r="C179" i="2"/>
  <c r="D179" i="2" s="1"/>
  <c r="H179" i="2" s="1" a="1"/>
  <c r="H179" i="2" s="1"/>
  <c r="C175" i="2"/>
  <c r="D175" i="2" s="1"/>
  <c r="H175" i="2" s="1" a="1"/>
  <c r="H175" i="2" s="1"/>
  <c r="C171" i="2"/>
  <c r="D171" i="2" s="1"/>
  <c r="H171" i="2" s="1" a="1"/>
  <c r="H171" i="2" s="1"/>
  <c r="C167" i="2"/>
  <c r="D167" i="2" s="1"/>
  <c r="H167" i="2" s="1" a="1"/>
  <c r="H167" i="2" s="1"/>
  <c r="C164" i="2"/>
  <c r="C186" i="2"/>
  <c r="D186" i="2" s="1"/>
  <c r="H186" i="2" s="1" a="1"/>
  <c r="H186" i="2" s="1"/>
  <c r="C182" i="2"/>
  <c r="D182" i="2" s="1"/>
  <c r="H182" i="2" s="1" a="1"/>
  <c r="H182" i="2" s="1"/>
  <c r="C178" i="2"/>
  <c r="D178" i="2" s="1"/>
  <c r="H178" i="2" s="1" a="1"/>
  <c r="H178" i="2" s="1"/>
  <c r="C174" i="2"/>
  <c r="D174" i="2" s="1"/>
  <c r="H174" i="2" s="1" a="1"/>
  <c r="H174" i="2" s="1"/>
  <c r="C170" i="2"/>
  <c r="D170" i="2" s="1"/>
  <c r="H170" i="2" s="1" a="1"/>
  <c r="H170" i="2" s="1"/>
  <c r="C166" i="2"/>
  <c r="D166" i="2" s="1"/>
  <c r="H166" i="2" s="1" a="1"/>
  <c r="H166" i="2" s="1"/>
  <c r="C181" i="2"/>
  <c r="D181" i="2" s="1"/>
  <c r="H181" i="2" s="1" a="1"/>
  <c r="H181" i="2" s="1"/>
  <c r="C165" i="2"/>
  <c r="D165" i="2" s="1"/>
  <c r="H165" i="2" s="1" a="1"/>
  <c r="H165" i="2" s="1"/>
  <c r="C177" i="2"/>
  <c r="D177" i="2" s="1"/>
  <c r="H177" i="2" s="1" a="1"/>
  <c r="H177" i="2" s="1"/>
  <c r="C173" i="2"/>
  <c r="D173" i="2" s="1"/>
  <c r="H173" i="2" s="1" a="1"/>
  <c r="H173" i="2" s="1"/>
  <c r="C185" i="2"/>
  <c r="D185" i="2" s="1"/>
  <c r="H185" i="2" s="1" a="1"/>
  <c r="H185" i="2" s="1"/>
  <c r="C169" i="2"/>
  <c r="D169" i="2" s="1"/>
  <c r="H169" i="2" s="1" a="1"/>
  <c r="H169" i="2" s="1"/>
  <c r="E76" i="2" a="1"/>
  <c r="D76" i="2"/>
  <c r="E194" i="2" a="1"/>
  <c r="D194" i="2"/>
  <c r="C155" i="2"/>
  <c r="D155" i="2" s="1"/>
  <c r="H155" i="2" s="1" a="1"/>
  <c r="H155" i="2" s="1"/>
  <c r="C151" i="2"/>
  <c r="D151" i="2" s="1"/>
  <c r="H151" i="2" s="1" a="1"/>
  <c r="H151" i="2" s="1"/>
  <c r="C147" i="2"/>
  <c r="D147" i="2" s="1"/>
  <c r="H147" i="2" s="1" a="1"/>
  <c r="H147" i="2" s="1"/>
  <c r="C143" i="2"/>
  <c r="D143" i="2" s="1"/>
  <c r="H143" i="2" s="1" a="1"/>
  <c r="H143" i="2" s="1"/>
  <c r="C139" i="2"/>
  <c r="D139" i="2" s="1"/>
  <c r="H139" i="2" s="1" a="1"/>
  <c r="H139" i="2" s="1"/>
  <c r="C135" i="2"/>
  <c r="D135" i="2" s="1"/>
  <c r="H135" i="2" s="1" a="1"/>
  <c r="H135" i="2" s="1"/>
  <c r="C158" i="2"/>
  <c r="D158" i="2" s="1"/>
  <c r="H158" i="2" s="1" a="1"/>
  <c r="H158" i="2" s="1"/>
  <c r="C154" i="2"/>
  <c r="D154" i="2" s="1"/>
  <c r="H154" i="2" s="1" a="1"/>
  <c r="H154" i="2" s="1"/>
  <c r="C150" i="2"/>
  <c r="D150" i="2" s="1"/>
  <c r="H150" i="2" s="1" a="1"/>
  <c r="H150" i="2" s="1"/>
  <c r="C146" i="2"/>
  <c r="D146" i="2" s="1"/>
  <c r="H146" i="2" s="1" a="1"/>
  <c r="H146" i="2" s="1"/>
  <c r="C142" i="2"/>
  <c r="D142" i="2" s="1"/>
  <c r="H142" i="2" s="1" a="1"/>
  <c r="H142" i="2" s="1"/>
  <c r="C138" i="2"/>
  <c r="D138" i="2" s="1"/>
  <c r="H138" i="2" s="1" a="1"/>
  <c r="H138" i="2" s="1"/>
  <c r="C157" i="2"/>
  <c r="D157" i="2" s="1"/>
  <c r="H157" i="2" s="1" a="1"/>
  <c r="H157" i="2" s="1"/>
  <c r="C153" i="2"/>
  <c r="D153" i="2" s="1"/>
  <c r="H153" i="2" s="1" a="1"/>
  <c r="H153" i="2" s="1"/>
  <c r="C149" i="2"/>
  <c r="D149" i="2" s="1"/>
  <c r="H149" i="2" s="1" a="1"/>
  <c r="H149" i="2" s="1"/>
  <c r="C145" i="2"/>
  <c r="D145" i="2" s="1"/>
  <c r="H145" i="2" s="1" a="1"/>
  <c r="H145" i="2" s="1"/>
  <c r="C141" i="2"/>
  <c r="D141" i="2" s="1"/>
  <c r="H141" i="2" s="1" a="1"/>
  <c r="H141" i="2" s="1"/>
  <c r="C137" i="2"/>
  <c r="D137" i="2" s="1"/>
  <c r="H137" i="2" s="1" a="1"/>
  <c r="H137" i="2" s="1"/>
  <c r="C134" i="2"/>
  <c r="C148" i="2"/>
  <c r="D148" i="2" s="1"/>
  <c r="H148" i="2" s="1" a="1"/>
  <c r="H148" i="2" s="1"/>
  <c r="C144" i="2"/>
  <c r="D144" i="2" s="1"/>
  <c r="H144" i="2" s="1" a="1"/>
  <c r="H144" i="2" s="1"/>
  <c r="C156" i="2"/>
  <c r="D156" i="2" s="1"/>
  <c r="H156" i="2" s="1" a="1"/>
  <c r="H156" i="2" s="1"/>
  <c r="C140" i="2"/>
  <c r="D140" i="2" s="1"/>
  <c r="H140" i="2" s="1" a="1"/>
  <c r="H140" i="2" s="1"/>
  <c r="C152" i="2"/>
  <c r="D152" i="2" s="1"/>
  <c r="H152" i="2" s="1" a="1"/>
  <c r="H152" i="2" s="1"/>
  <c r="C136" i="2"/>
  <c r="D136" i="2" s="1"/>
  <c r="H136" i="2" s="1" a="1"/>
  <c r="H136" i="2" s="1"/>
  <c r="E105" i="2" l="1" a="1"/>
  <c r="E128" i="2" s="1"/>
  <c r="E164" i="2" a="1"/>
  <c r="D164" i="2"/>
  <c r="E218" i="2"/>
  <c r="E214" i="2"/>
  <c r="E210" i="2"/>
  <c r="E206" i="2"/>
  <c r="E202" i="2"/>
  <c r="E198" i="2"/>
  <c r="E217" i="2"/>
  <c r="E213" i="2"/>
  <c r="E209" i="2"/>
  <c r="E205" i="2"/>
  <c r="E201" i="2"/>
  <c r="E197" i="2"/>
  <c r="E194" i="2"/>
  <c r="E216" i="2"/>
  <c r="E212" i="2"/>
  <c r="E208" i="2"/>
  <c r="E204" i="2"/>
  <c r="E200" i="2"/>
  <c r="E196" i="2"/>
  <c r="E215" i="2"/>
  <c r="E199" i="2"/>
  <c r="E211" i="2"/>
  <c r="E195" i="2"/>
  <c r="E207" i="2"/>
  <c r="E203" i="2"/>
  <c r="E100" i="2"/>
  <c r="E96" i="2"/>
  <c r="E92" i="2"/>
  <c r="E88" i="2"/>
  <c r="E84" i="2"/>
  <c r="E80" i="2"/>
  <c r="E99" i="2"/>
  <c r="E95" i="2"/>
  <c r="E91" i="2"/>
  <c r="E87" i="2"/>
  <c r="E83" i="2"/>
  <c r="E79" i="2"/>
  <c r="E76" i="2"/>
  <c r="E98" i="2"/>
  <c r="E94" i="2"/>
  <c r="E90" i="2"/>
  <c r="E86" i="2"/>
  <c r="E82" i="2"/>
  <c r="E78" i="2"/>
  <c r="E97" i="2"/>
  <c r="E93" i="2"/>
  <c r="E89" i="2"/>
  <c r="E85" i="2"/>
  <c r="E81" i="2"/>
  <c r="E77" i="2"/>
  <c r="D134" i="2"/>
  <c r="E134" i="2" a="1"/>
  <c r="E120" i="2"/>
  <c r="E116" i="2"/>
  <c r="E108" i="2"/>
  <c r="E127" i="2"/>
  <c r="E119" i="2"/>
  <c r="E115" i="2"/>
  <c r="E126" i="2"/>
  <c r="E122" i="2"/>
  <c r="E118" i="2"/>
  <c r="E106" i="2"/>
  <c r="E125" i="2"/>
  <c r="E121" i="2"/>
  <c r="E129" i="2"/>
  <c r="H105" i="2" a="1"/>
  <c r="H105" i="2" s="1"/>
  <c r="F105" i="2" a="1"/>
  <c r="H194" i="2" a="1"/>
  <c r="H194" i="2" s="1"/>
  <c r="F194" i="2" a="1"/>
  <c r="H76" i="2" a="1"/>
  <c r="H76" i="2" s="1"/>
  <c r="F76" i="2" a="1"/>
  <c r="E117" i="2" l="1"/>
  <c r="E110" i="2"/>
  <c r="E111" i="2"/>
  <c r="E105" i="2"/>
  <c r="E124" i="2"/>
  <c r="E113" i="2"/>
  <c r="E109" i="2"/>
  <c r="E114" i="2"/>
  <c r="E107" i="2"/>
  <c r="E123" i="2"/>
  <c r="E112" i="2"/>
  <c r="F126" i="2"/>
  <c r="F122" i="2"/>
  <c r="F118" i="2"/>
  <c r="F114" i="2"/>
  <c r="F110" i="2"/>
  <c r="F106" i="2"/>
  <c r="F129" i="2"/>
  <c r="F125" i="2"/>
  <c r="F121" i="2"/>
  <c r="F117" i="2"/>
  <c r="F113" i="2"/>
  <c r="F109" i="2"/>
  <c r="F128" i="2"/>
  <c r="F124" i="2"/>
  <c r="F120" i="2"/>
  <c r="F116" i="2"/>
  <c r="F112" i="2"/>
  <c r="F108" i="2"/>
  <c r="F105" i="2"/>
  <c r="F115" i="2"/>
  <c r="F127" i="2"/>
  <c r="F111" i="2"/>
  <c r="F123" i="2"/>
  <c r="F107" i="2"/>
  <c r="F119" i="2"/>
  <c r="H134" i="2" a="1"/>
  <c r="H134" i="2" s="1"/>
  <c r="F134" i="2" a="1"/>
  <c r="E185" i="2"/>
  <c r="E181" i="2"/>
  <c r="E177" i="2"/>
  <c r="E173" i="2"/>
  <c r="E169" i="2"/>
  <c r="E165" i="2"/>
  <c r="E188" i="2"/>
  <c r="E184" i="2"/>
  <c r="E180" i="2"/>
  <c r="E176" i="2"/>
  <c r="E172" i="2"/>
  <c r="E168" i="2"/>
  <c r="E187" i="2"/>
  <c r="E183" i="2"/>
  <c r="E179" i="2"/>
  <c r="E175" i="2"/>
  <c r="E171" i="2"/>
  <c r="E167" i="2"/>
  <c r="E164" i="2"/>
  <c r="E186" i="2"/>
  <c r="E170" i="2"/>
  <c r="E182" i="2"/>
  <c r="E166" i="2"/>
  <c r="E178" i="2"/>
  <c r="E174" i="2"/>
  <c r="F218" i="2"/>
  <c r="F214" i="2"/>
  <c r="F210" i="2"/>
  <c r="F206" i="2"/>
  <c r="F202" i="2"/>
  <c r="F198" i="2"/>
  <c r="F213" i="2"/>
  <c r="F208" i="2"/>
  <c r="F203" i="2"/>
  <c r="F197" i="2"/>
  <c r="F217" i="2"/>
  <c r="F212" i="2"/>
  <c r="F207" i="2"/>
  <c r="F201" i="2"/>
  <c r="F196" i="2"/>
  <c r="F216" i="2"/>
  <c r="F211" i="2"/>
  <c r="F205" i="2"/>
  <c r="F200" i="2"/>
  <c r="F195" i="2"/>
  <c r="F209" i="2"/>
  <c r="F204" i="2"/>
  <c r="F199" i="2"/>
  <c r="F215" i="2"/>
  <c r="F194" i="2"/>
  <c r="F98" i="2"/>
  <c r="F94" i="2"/>
  <c r="F90" i="2"/>
  <c r="F86" i="2"/>
  <c r="F82" i="2"/>
  <c r="F78" i="2"/>
  <c r="F97" i="2"/>
  <c r="F93" i="2"/>
  <c r="F89" i="2"/>
  <c r="F85" i="2"/>
  <c r="F81" i="2"/>
  <c r="F77" i="2"/>
  <c r="F100" i="2"/>
  <c r="F96" i="2"/>
  <c r="F92" i="2"/>
  <c r="F88" i="2"/>
  <c r="F84" i="2"/>
  <c r="F80" i="2"/>
  <c r="F99" i="2"/>
  <c r="F95" i="2"/>
  <c r="F91" i="2"/>
  <c r="F87" i="2"/>
  <c r="F83" i="2"/>
  <c r="F79" i="2"/>
  <c r="F76" i="2"/>
  <c r="E156" i="2"/>
  <c r="E152" i="2"/>
  <c r="E148" i="2"/>
  <c r="E144" i="2"/>
  <c r="E140" i="2"/>
  <c r="E136" i="2"/>
  <c r="E155" i="2"/>
  <c r="E151" i="2"/>
  <c r="E147" i="2"/>
  <c r="E143" i="2"/>
  <c r="E139" i="2"/>
  <c r="E135" i="2"/>
  <c r="E158" i="2"/>
  <c r="E154" i="2"/>
  <c r="E150" i="2"/>
  <c r="E146" i="2"/>
  <c r="E142" i="2"/>
  <c r="E138" i="2"/>
  <c r="E157" i="2"/>
  <c r="E153" i="2"/>
  <c r="E149" i="2"/>
  <c r="E145" i="2"/>
  <c r="E141" i="2"/>
  <c r="E137" i="2"/>
  <c r="E134" i="2"/>
  <c r="H164" i="2" a="1"/>
  <c r="H164" i="2" s="1"/>
  <c r="F164" i="2" a="1"/>
  <c r="G105" i="2" l="1" a="1"/>
  <c r="G128" i="2" s="1"/>
  <c r="G76" i="2" a="1"/>
  <c r="G100" i="2" s="1"/>
  <c r="G194" i="2" a="1"/>
  <c r="G204" i="2" s="1"/>
  <c r="G121" i="2"/>
  <c r="G125" i="2"/>
  <c r="F158" i="2"/>
  <c r="F154" i="2"/>
  <c r="F150" i="2"/>
  <c r="F146" i="2"/>
  <c r="F142" i="2"/>
  <c r="F138" i="2"/>
  <c r="F157" i="2"/>
  <c r="F153" i="2"/>
  <c r="F149" i="2"/>
  <c r="F145" i="2"/>
  <c r="F141" i="2"/>
  <c r="F137" i="2"/>
  <c r="F134" i="2"/>
  <c r="F156" i="2"/>
  <c r="F152" i="2"/>
  <c r="F148" i="2"/>
  <c r="F144" i="2"/>
  <c r="F140" i="2"/>
  <c r="F136" i="2"/>
  <c r="F155" i="2"/>
  <c r="F151" i="2"/>
  <c r="F147" i="2"/>
  <c r="F143" i="2"/>
  <c r="F139" i="2"/>
  <c r="F135" i="2"/>
  <c r="F187" i="2"/>
  <c r="F183" i="2"/>
  <c r="F179" i="2"/>
  <c r="F175" i="2"/>
  <c r="F171" i="2"/>
  <c r="F167" i="2"/>
  <c r="F164" i="2"/>
  <c r="F186" i="2"/>
  <c r="F182" i="2"/>
  <c r="F178" i="2"/>
  <c r="F174" i="2"/>
  <c r="F170" i="2"/>
  <c r="F166" i="2"/>
  <c r="F185" i="2"/>
  <c r="F181" i="2"/>
  <c r="F177" i="2"/>
  <c r="F173" i="2"/>
  <c r="F169" i="2"/>
  <c r="F165" i="2"/>
  <c r="F176" i="2"/>
  <c r="F188" i="2"/>
  <c r="F172" i="2"/>
  <c r="F184" i="2"/>
  <c r="F168" i="2"/>
  <c r="F180" i="2"/>
  <c r="G118" i="2" l="1"/>
  <c r="G111" i="2"/>
  <c r="G127" i="2"/>
  <c r="G116" i="2"/>
  <c r="K116" i="2" s="1"/>
  <c r="G113" i="2"/>
  <c r="G106" i="2"/>
  <c r="G122" i="2"/>
  <c r="K122" i="2" s="1"/>
  <c r="G115" i="2"/>
  <c r="K115" i="2" s="1"/>
  <c r="G105" i="2"/>
  <c r="G120" i="2"/>
  <c r="G129" i="2"/>
  <c r="K129" i="2" s="1"/>
  <c r="G110" i="2"/>
  <c r="I110" i="2" s="1"/>
  <c r="G126" i="2"/>
  <c r="G119" i="2"/>
  <c r="G108" i="2"/>
  <c r="I108" i="2" s="1"/>
  <c r="G124" i="2"/>
  <c r="I124" i="2" s="1"/>
  <c r="G109" i="2"/>
  <c r="G117" i="2"/>
  <c r="G114" i="2"/>
  <c r="G107" i="2"/>
  <c r="K107" i="2" s="1"/>
  <c r="G123" i="2"/>
  <c r="G112" i="2"/>
  <c r="G81" i="2"/>
  <c r="I81" i="2" s="1"/>
  <c r="G97" i="2"/>
  <c r="I97" i="2" s="1"/>
  <c r="G90" i="2"/>
  <c r="G79" i="2"/>
  <c r="I79" i="2" s="1"/>
  <c r="G95" i="2"/>
  <c r="I95" i="2" s="1"/>
  <c r="G88" i="2"/>
  <c r="K88" i="2" s="1"/>
  <c r="G85" i="2"/>
  <c r="G78" i="2"/>
  <c r="K78" i="2" s="1"/>
  <c r="G94" i="2"/>
  <c r="K94" i="2" s="1"/>
  <c r="G83" i="2"/>
  <c r="K83" i="2" s="1"/>
  <c r="G99" i="2"/>
  <c r="G92" i="2"/>
  <c r="I92" i="2" s="1"/>
  <c r="G89" i="2"/>
  <c r="I89" i="2" s="1"/>
  <c r="G82" i="2"/>
  <c r="K82" i="2" s="1"/>
  <c r="G98" i="2"/>
  <c r="G87" i="2"/>
  <c r="I87" i="2" s="1"/>
  <c r="G80" i="2"/>
  <c r="I80" i="2" s="1"/>
  <c r="G96" i="2"/>
  <c r="I96" i="2" s="1"/>
  <c r="G77" i="2"/>
  <c r="G93" i="2"/>
  <c r="K93" i="2" s="1"/>
  <c r="G86" i="2"/>
  <c r="I86" i="2" s="1"/>
  <c r="G76" i="2"/>
  <c r="I76" i="2" s="1"/>
  <c r="G91" i="2"/>
  <c r="G84" i="2"/>
  <c r="K84" i="2" s="1"/>
  <c r="G164" i="2" a="1"/>
  <c r="G185" i="2" s="1"/>
  <c r="G134" i="2" a="1"/>
  <c r="G156" i="2" s="1"/>
  <c r="G206" i="2"/>
  <c r="G194" i="2"/>
  <c r="I194" i="2" s="1"/>
  <c r="G208" i="2"/>
  <c r="I208" i="2" s="1"/>
  <c r="G205" i="2"/>
  <c r="I205" i="2" s="1"/>
  <c r="G211" i="2"/>
  <c r="G207" i="2"/>
  <c r="I207" i="2" s="1"/>
  <c r="G198" i="2"/>
  <c r="I198" i="2" s="1"/>
  <c r="G196" i="2"/>
  <c r="I196" i="2" s="1"/>
  <c r="G212" i="2"/>
  <c r="G210" i="2"/>
  <c r="I210" i="2" s="1"/>
  <c r="G195" i="2"/>
  <c r="I195" i="2" s="1"/>
  <c r="G217" i="2"/>
  <c r="I217" i="2" s="1"/>
  <c r="G213" i="2"/>
  <c r="G203" i="2"/>
  <c r="K203" i="2" s="1"/>
  <c r="G200" i="2"/>
  <c r="K200" i="2" s="1"/>
  <c r="G216" i="2"/>
  <c r="K216" i="2" s="1"/>
  <c r="G199" i="2"/>
  <c r="G202" i="2"/>
  <c r="K202" i="2" s="1"/>
  <c r="G214" i="2"/>
  <c r="K214" i="2" s="1"/>
  <c r="G215" i="2"/>
  <c r="K215" i="2" s="1"/>
  <c r="G201" i="2"/>
  <c r="G197" i="2"/>
  <c r="I197" i="2" s="1"/>
  <c r="G218" i="2"/>
  <c r="I218" i="2" s="1"/>
  <c r="G209" i="2"/>
  <c r="K209" i="2" s="1"/>
  <c r="K126" i="2"/>
  <c r="I126" i="2"/>
  <c r="K119" i="2"/>
  <c r="I119" i="2"/>
  <c r="K199" i="2"/>
  <c r="I199" i="2"/>
  <c r="I206" i="2"/>
  <c r="K206" i="2"/>
  <c r="K90" i="2"/>
  <c r="I90" i="2"/>
  <c r="I109" i="2"/>
  <c r="K109" i="2"/>
  <c r="I117" i="2"/>
  <c r="K117" i="2"/>
  <c r="I114" i="2"/>
  <c r="K114" i="2"/>
  <c r="K123" i="2"/>
  <c r="I123" i="2"/>
  <c r="I112" i="2"/>
  <c r="K112" i="2"/>
  <c r="I128" i="2"/>
  <c r="K128" i="2"/>
  <c r="I211" i="2"/>
  <c r="K211" i="2"/>
  <c r="I212" i="2"/>
  <c r="K212" i="2"/>
  <c r="K85" i="2"/>
  <c r="I85" i="2"/>
  <c r="I99" i="2"/>
  <c r="K99" i="2"/>
  <c r="I125" i="2"/>
  <c r="K125" i="2"/>
  <c r="I121" i="2"/>
  <c r="K121" i="2"/>
  <c r="I118" i="2"/>
  <c r="K118" i="2"/>
  <c r="I111" i="2"/>
  <c r="K111" i="2"/>
  <c r="I127" i="2"/>
  <c r="K127" i="2"/>
  <c r="I213" i="2"/>
  <c r="K213" i="2"/>
  <c r="K89" i="2"/>
  <c r="K98" i="2"/>
  <c r="I98" i="2"/>
  <c r="K80" i="2"/>
  <c r="I113" i="2"/>
  <c r="K113" i="2"/>
  <c r="I106" i="2"/>
  <c r="K106" i="2"/>
  <c r="I122" i="2"/>
  <c r="I105" i="2"/>
  <c r="K105" i="2"/>
  <c r="K120" i="2"/>
  <c r="I120" i="2"/>
  <c r="I201" i="2"/>
  <c r="K201" i="2"/>
  <c r="I204" i="2"/>
  <c r="K204" i="2"/>
  <c r="I77" i="2"/>
  <c r="K77" i="2"/>
  <c r="K91" i="2"/>
  <c r="I91" i="2"/>
  <c r="I84" i="2"/>
  <c r="K100" i="2"/>
  <c r="I100" i="2"/>
  <c r="I94" i="2" l="1"/>
  <c r="K108" i="2"/>
  <c r="G186" i="2"/>
  <c r="K186" i="2" s="1"/>
  <c r="G179" i="2"/>
  <c r="I179" i="2" s="1"/>
  <c r="K86" i="2"/>
  <c r="I215" i="2"/>
  <c r="K198" i="2"/>
  <c r="K95" i="2"/>
  <c r="K81" i="2"/>
  <c r="I129" i="2"/>
  <c r="G183" i="2"/>
  <c r="K183" i="2" s="1"/>
  <c r="K195" i="2"/>
  <c r="I200" i="2"/>
  <c r="I116" i="2"/>
  <c r="I107" i="2"/>
  <c r="G188" i="2"/>
  <c r="I188" i="2" s="1"/>
  <c r="I209" i="2"/>
  <c r="K76" i="2"/>
  <c r="I216" i="2"/>
  <c r="K217" i="2"/>
  <c r="I82" i="2"/>
  <c r="I88" i="2"/>
  <c r="G167" i="2"/>
  <c r="K167" i="2" s="1"/>
  <c r="G177" i="2"/>
  <c r="I177" i="2" s="1"/>
  <c r="I115" i="2"/>
  <c r="K96" i="2"/>
  <c r="I83" i="2"/>
  <c r="K196" i="2"/>
  <c r="K205" i="2"/>
  <c r="K97" i="2"/>
  <c r="K124" i="2"/>
  <c r="K110" i="2"/>
  <c r="G141" i="2"/>
  <c r="I141" i="2" s="1"/>
  <c r="G174" i="2"/>
  <c r="I174" i="2" s="1"/>
  <c r="G184" i="2"/>
  <c r="I184" i="2" s="1"/>
  <c r="G135" i="2"/>
  <c r="K135" i="2" s="1"/>
  <c r="I93" i="2"/>
  <c r="G182" i="2"/>
  <c r="I182" i="2" s="1"/>
  <c r="G176" i="2"/>
  <c r="I176" i="2" s="1"/>
  <c r="G181" i="2"/>
  <c r="K181" i="2" s="1"/>
  <c r="G151" i="2"/>
  <c r="I151" i="2" s="1"/>
  <c r="G146" i="2"/>
  <c r="K146" i="2" s="1"/>
  <c r="G164" i="2"/>
  <c r="K164" i="2" s="1"/>
  <c r="G168" i="2"/>
  <c r="K168" i="2" s="1"/>
  <c r="G173" i="2"/>
  <c r="I173" i="2" s="1"/>
  <c r="G153" i="2"/>
  <c r="I153" i="2" s="1"/>
  <c r="G155" i="2"/>
  <c r="I155" i="2" s="1"/>
  <c r="K87" i="2"/>
  <c r="K92" i="2"/>
  <c r="I78" i="2"/>
  <c r="K79" i="2"/>
  <c r="I214" i="2"/>
  <c r="G178" i="2"/>
  <c r="K178" i="2" s="1"/>
  <c r="G175" i="2"/>
  <c r="K175" i="2" s="1"/>
  <c r="G172" i="2"/>
  <c r="K172" i="2" s="1"/>
  <c r="G165" i="2"/>
  <c r="I165" i="2" s="1"/>
  <c r="G137" i="2"/>
  <c r="I137" i="2" s="1"/>
  <c r="G150" i="2"/>
  <c r="I150" i="2" s="1"/>
  <c r="G144" i="2"/>
  <c r="I144" i="2" s="1"/>
  <c r="K207" i="2"/>
  <c r="I202" i="2"/>
  <c r="K197" i="2"/>
  <c r="K210" i="2"/>
  <c r="K194" i="2"/>
  <c r="G170" i="2"/>
  <c r="I170" i="2" s="1"/>
  <c r="G166" i="2"/>
  <c r="K166" i="2" s="1"/>
  <c r="G171" i="2"/>
  <c r="I171" i="2" s="1"/>
  <c r="G187" i="2"/>
  <c r="I187" i="2" s="1"/>
  <c r="G180" i="2"/>
  <c r="K180" i="2" s="1"/>
  <c r="G169" i="2"/>
  <c r="I169" i="2" s="1"/>
  <c r="G157" i="2"/>
  <c r="K157" i="2" s="1"/>
  <c r="G139" i="2"/>
  <c r="I139" i="2" s="1"/>
  <c r="G148" i="2"/>
  <c r="K148" i="2" s="1"/>
  <c r="I203" i="2"/>
  <c r="K208" i="2"/>
  <c r="G145" i="2"/>
  <c r="I145" i="2" s="1"/>
  <c r="G138" i="2"/>
  <c r="K138" i="2" s="1"/>
  <c r="G154" i="2"/>
  <c r="K154" i="2" s="1"/>
  <c r="G143" i="2"/>
  <c r="I143" i="2" s="1"/>
  <c r="G136" i="2"/>
  <c r="I136" i="2" s="1"/>
  <c r="G152" i="2"/>
  <c r="K152" i="2" s="1"/>
  <c r="G134" i="2"/>
  <c r="K134" i="2" s="1"/>
  <c r="G149" i="2"/>
  <c r="I149" i="2" s="1"/>
  <c r="G142" i="2"/>
  <c r="I142" i="2" s="1"/>
  <c r="G158" i="2"/>
  <c r="K158" i="2" s="1"/>
  <c r="G147" i="2"/>
  <c r="I147" i="2" s="1"/>
  <c r="G140" i="2"/>
  <c r="K140" i="2" s="1"/>
  <c r="K218" i="2"/>
  <c r="I172" i="2"/>
  <c r="K141" i="2"/>
  <c r="I157" i="2"/>
  <c r="I148" i="2"/>
  <c r="K171" i="2"/>
  <c r="I185" i="2"/>
  <c r="K185" i="2"/>
  <c r="K143" i="2"/>
  <c r="I186" i="2"/>
  <c r="I134" i="2"/>
  <c r="K149" i="2"/>
  <c r="I156" i="2"/>
  <c r="K156" i="2"/>
  <c r="K151" i="2" l="1"/>
  <c r="K179" i="2"/>
  <c r="K177" i="2"/>
  <c r="I183" i="2"/>
  <c r="K188" i="2"/>
  <c r="K155" i="2"/>
  <c r="I167" i="2"/>
  <c r="I164" i="2"/>
  <c r="K137" i="2"/>
  <c r="K173" i="2"/>
  <c r="I180" i="2"/>
  <c r="I158" i="2"/>
  <c r="I138" i="2"/>
  <c r="I178" i="2"/>
  <c r="I152" i="2"/>
  <c r="K170" i="2"/>
  <c r="I154" i="2"/>
  <c r="I175" i="2"/>
  <c r="K150" i="2"/>
  <c r="J105" i="2" a="1"/>
  <c r="J127" i="2" s="1"/>
  <c r="K182" i="2"/>
  <c r="K169" i="2"/>
  <c r="K174" i="2"/>
  <c r="I166" i="2"/>
  <c r="K153" i="2"/>
  <c r="K147" i="2"/>
  <c r="K176" i="2"/>
  <c r="I146" i="2"/>
  <c r="J76" i="2" a="1"/>
  <c r="J99" i="2" s="1"/>
  <c r="K144" i="2"/>
  <c r="I135" i="2"/>
  <c r="I140" i="2"/>
  <c r="K184" i="2"/>
  <c r="N194" i="2" a="1"/>
  <c r="N205" i="2" s="1"/>
  <c r="J194" i="2" a="1"/>
  <c r="J207" i="2" s="1"/>
  <c r="L76" i="2" a="1"/>
  <c r="L88" i="2" s="1"/>
  <c r="L105" i="2" a="1"/>
  <c r="L128" i="2" s="1"/>
  <c r="N105" i="2" a="1"/>
  <c r="N125" i="2" s="1"/>
  <c r="Y125" i="2" s="1"/>
  <c r="N76" i="2" a="1"/>
  <c r="N93" i="2" s="1"/>
  <c r="I168" i="2"/>
  <c r="I181" i="2"/>
  <c r="K139" i="2"/>
  <c r="L194" i="2" a="1"/>
  <c r="L216" i="2" s="1"/>
  <c r="K142" i="2"/>
  <c r="K136" i="2"/>
  <c r="K145" i="2"/>
  <c r="K187" i="2"/>
  <c r="K165" i="2"/>
  <c r="J212" i="2"/>
  <c r="J206" i="2"/>
  <c r="J204" i="2"/>
  <c r="J194" i="2"/>
  <c r="J116" i="2" l="1"/>
  <c r="J122" i="2"/>
  <c r="J106" i="2"/>
  <c r="J124" i="2"/>
  <c r="M124" i="2" s="1"/>
  <c r="W124" i="2" s="1"/>
  <c r="J115" i="2"/>
  <c r="J117" i="2"/>
  <c r="L90" i="2"/>
  <c r="J97" i="2"/>
  <c r="L116" i="2"/>
  <c r="J134" i="2" a="1"/>
  <c r="J147" i="2" s="1"/>
  <c r="N85" i="2"/>
  <c r="J98" i="2"/>
  <c r="J202" i="2"/>
  <c r="J205" i="2"/>
  <c r="J203" i="2"/>
  <c r="J84" i="2"/>
  <c r="J91" i="2"/>
  <c r="L82" i="2"/>
  <c r="L78" i="2"/>
  <c r="J208" i="2"/>
  <c r="J210" i="2"/>
  <c r="J211" i="2"/>
  <c r="J77" i="2"/>
  <c r="L114" i="2"/>
  <c r="L86" i="2"/>
  <c r="L85" i="2"/>
  <c r="J105" i="2"/>
  <c r="J128" i="2"/>
  <c r="M128" i="2" s="1"/>
  <c r="W128" i="2" s="1"/>
  <c r="J121" i="2"/>
  <c r="J110" i="2"/>
  <c r="J126" i="2"/>
  <c r="J119" i="2"/>
  <c r="M119" i="2" s="1"/>
  <c r="W119" i="2" s="1"/>
  <c r="L81" i="2"/>
  <c r="L89" i="2"/>
  <c r="L77" i="2"/>
  <c r="J197" i="2"/>
  <c r="J209" i="2"/>
  <c r="J216" i="2"/>
  <c r="J195" i="2"/>
  <c r="J215" i="2"/>
  <c r="J120" i="2"/>
  <c r="J109" i="2"/>
  <c r="J125" i="2"/>
  <c r="J114" i="2"/>
  <c r="J107" i="2"/>
  <c r="J123" i="2"/>
  <c r="L96" i="2"/>
  <c r="L84" i="2"/>
  <c r="J218" i="2"/>
  <c r="J214" i="2"/>
  <c r="J201" i="2"/>
  <c r="J199" i="2"/>
  <c r="J112" i="2"/>
  <c r="J108" i="2"/>
  <c r="J113" i="2"/>
  <c r="J129" i="2"/>
  <c r="M129" i="2" s="1"/>
  <c r="W129" i="2" s="1"/>
  <c r="J118" i="2"/>
  <c r="J111" i="2"/>
  <c r="L95" i="2"/>
  <c r="L98" i="2"/>
  <c r="L91" i="2"/>
  <c r="M91" i="2" s="1"/>
  <c r="N110" i="2"/>
  <c r="Y110" i="2" s="1"/>
  <c r="N203" i="2"/>
  <c r="N200" i="2"/>
  <c r="N209" i="2"/>
  <c r="L83" i="2"/>
  <c r="N129" i="2"/>
  <c r="Y129" i="2" s="1"/>
  <c r="N208" i="2"/>
  <c r="N206" i="2"/>
  <c r="N213" i="2"/>
  <c r="N202" i="2"/>
  <c r="N210" i="2"/>
  <c r="N197" i="2"/>
  <c r="N218" i="2"/>
  <c r="N204" i="2"/>
  <c r="N194" i="2"/>
  <c r="L79" i="2"/>
  <c r="L80" i="2"/>
  <c r="L100" i="2"/>
  <c r="L93" i="2"/>
  <c r="L94" i="2"/>
  <c r="L99" i="2"/>
  <c r="M99" i="2" s="1"/>
  <c r="N115" i="2"/>
  <c r="Y115" i="2" s="1"/>
  <c r="J88" i="2"/>
  <c r="M88" i="2" s="1"/>
  <c r="J81" i="2"/>
  <c r="J82" i="2"/>
  <c r="J76" i="2"/>
  <c r="J95" i="2"/>
  <c r="L108" i="2"/>
  <c r="L111" i="2"/>
  <c r="N94" i="2"/>
  <c r="N124" i="2"/>
  <c r="Y124" i="2" s="1"/>
  <c r="J92" i="2"/>
  <c r="J89" i="2"/>
  <c r="J86" i="2"/>
  <c r="M86" i="2" s="1"/>
  <c r="J79" i="2"/>
  <c r="M79" i="2" s="1"/>
  <c r="L119" i="2"/>
  <c r="L117" i="2"/>
  <c r="M117" i="2" s="1"/>
  <c r="W117" i="2" s="1"/>
  <c r="L97" i="2"/>
  <c r="L87" i="2"/>
  <c r="L127" i="2"/>
  <c r="M127" i="2" s="1"/>
  <c r="W127" i="2" s="1"/>
  <c r="L76" i="2"/>
  <c r="J164" i="2" a="1"/>
  <c r="J179" i="2" s="1"/>
  <c r="L92" i="2"/>
  <c r="J100" i="2"/>
  <c r="J93" i="2"/>
  <c r="J90" i="2"/>
  <c r="M90" i="2" s="1"/>
  <c r="J87" i="2"/>
  <c r="L112" i="2"/>
  <c r="L121" i="2"/>
  <c r="L164" i="2" a="1"/>
  <c r="L184" i="2" s="1"/>
  <c r="N134" i="2" a="1"/>
  <c r="N150" i="2" s="1"/>
  <c r="N98" i="2"/>
  <c r="N119" i="2"/>
  <c r="Y119" i="2" s="1"/>
  <c r="N212" i="2"/>
  <c r="N207" i="2"/>
  <c r="N214" i="2"/>
  <c r="N215" i="2"/>
  <c r="N211" i="2"/>
  <c r="N201" i="2"/>
  <c r="N217" i="2"/>
  <c r="N81" i="2"/>
  <c r="J213" i="2"/>
  <c r="J198" i="2"/>
  <c r="J200" i="2"/>
  <c r="J196" i="2"/>
  <c r="J217" i="2"/>
  <c r="N106" i="2"/>
  <c r="Y106" i="2" s="1"/>
  <c r="N120" i="2"/>
  <c r="Y120" i="2" s="1"/>
  <c r="N196" i="2"/>
  <c r="N198" i="2"/>
  <c r="N199" i="2"/>
  <c r="N195" i="2"/>
  <c r="N216" i="2"/>
  <c r="J80" i="2"/>
  <c r="J96" i="2"/>
  <c r="M96" i="2" s="1"/>
  <c r="J85" i="2"/>
  <c r="J78" i="2"/>
  <c r="M78" i="2" s="1"/>
  <c r="J94" i="2"/>
  <c r="J83" i="2"/>
  <c r="L125" i="2"/>
  <c r="M125" i="2" s="1"/>
  <c r="W125" i="2" s="1"/>
  <c r="L120" i="2"/>
  <c r="M120" i="2" s="1"/>
  <c r="W120" i="2" s="1"/>
  <c r="L113" i="2"/>
  <c r="M113" i="2" s="1"/>
  <c r="W113" i="2" s="1"/>
  <c r="L122" i="2"/>
  <c r="M122" i="2" s="1"/>
  <c r="W122" i="2" s="1"/>
  <c r="M92" i="2"/>
  <c r="L123" i="2"/>
  <c r="L109" i="2"/>
  <c r="L126" i="2"/>
  <c r="M126" i="2" s="1"/>
  <c r="W126" i="2" s="1"/>
  <c r="L115" i="2"/>
  <c r="M115" i="2" s="1"/>
  <c r="W115" i="2" s="1"/>
  <c r="L129" i="2"/>
  <c r="L118" i="2"/>
  <c r="N99" i="2"/>
  <c r="N122" i="2"/>
  <c r="Y122" i="2" s="1"/>
  <c r="N105" i="2"/>
  <c r="Y105" i="2" s="1"/>
  <c r="N113" i="2"/>
  <c r="Y113" i="2" s="1"/>
  <c r="N80" i="2"/>
  <c r="M112" i="2"/>
  <c r="W112" i="2" s="1"/>
  <c r="N126" i="2"/>
  <c r="Y126" i="2" s="1"/>
  <c r="N108" i="2"/>
  <c r="Y108" i="2" s="1"/>
  <c r="N117" i="2"/>
  <c r="Y117" i="2" s="1"/>
  <c r="L107" i="2"/>
  <c r="L124" i="2"/>
  <c r="L110" i="2"/>
  <c r="M110" i="2" s="1"/>
  <c r="W110" i="2" s="1"/>
  <c r="L106" i="2"/>
  <c r="M106" i="2" s="1"/>
  <c r="W106" i="2" s="1"/>
  <c r="L105" i="2"/>
  <c r="L218" i="2"/>
  <c r="M218" i="2" s="1"/>
  <c r="N78" i="2"/>
  <c r="N83" i="2"/>
  <c r="N92" i="2"/>
  <c r="N97" i="2"/>
  <c r="L214" i="2"/>
  <c r="M214" i="2" s="1"/>
  <c r="N114" i="2"/>
  <c r="Y114" i="2" s="1"/>
  <c r="N107" i="2"/>
  <c r="Y107" i="2" s="1"/>
  <c r="N123" i="2"/>
  <c r="Y123" i="2" s="1"/>
  <c r="N112" i="2"/>
  <c r="Y112" i="2" s="1"/>
  <c r="N128" i="2"/>
  <c r="Y128" i="2" s="1"/>
  <c r="N121" i="2"/>
  <c r="Y121" i="2" s="1"/>
  <c r="N82" i="2"/>
  <c r="N87" i="2"/>
  <c r="N96" i="2"/>
  <c r="L211" i="2"/>
  <c r="M211" i="2" s="1"/>
  <c r="N118" i="2"/>
  <c r="Y118" i="2" s="1"/>
  <c r="N111" i="2"/>
  <c r="Y111" i="2" s="1"/>
  <c r="N127" i="2"/>
  <c r="Y127" i="2" s="1"/>
  <c r="N116" i="2"/>
  <c r="Y116" i="2" s="1"/>
  <c r="N109" i="2"/>
  <c r="Y109" i="2" s="1"/>
  <c r="M94" i="2"/>
  <c r="L202" i="2"/>
  <c r="M202" i="2" s="1"/>
  <c r="L199" i="2"/>
  <c r="L217" i="2"/>
  <c r="L194" i="2"/>
  <c r="M194" i="2" s="1"/>
  <c r="L215" i="2"/>
  <c r="L204" i="2"/>
  <c r="M204" i="2" s="1"/>
  <c r="L198" i="2"/>
  <c r="L195" i="2"/>
  <c r="M195" i="2" s="1"/>
  <c r="L208" i="2"/>
  <c r="N164" i="2" a="1"/>
  <c r="N173" i="2" s="1"/>
  <c r="M77" i="2"/>
  <c r="N86" i="2"/>
  <c r="N76" i="2"/>
  <c r="N91" i="2"/>
  <c r="N84" i="2"/>
  <c r="N100" i="2"/>
  <c r="N89" i="2"/>
  <c r="M108" i="2"/>
  <c r="W108" i="2" s="1"/>
  <c r="L207" i="2"/>
  <c r="M207" i="2" s="1"/>
  <c r="L203" i="2"/>
  <c r="M203" i="2" s="1"/>
  <c r="L205" i="2"/>
  <c r="M205" i="2" s="1"/>
  <c r="L201" i="2"/>
  <c r="M201" i="2" s="1"/>
  <c r="L196" i="2"/>
  <c r="L212" i="2"/>
  <c r="M212" i="2" s="1"/>
  <c r="N90" i="2"/>
  <c r="N79" i="2"/>
  <c r="N95" i="2"/>
  <c r="N88" i="2"/>
  <c r="N77" i="2"/>
  <c r="L197" i="2"/>
  <c r="L213" i="2"/>
  <c r="L209" i="2"/>
  <c r="M209" i="2" s="1"/>
  <c r="L210" i="2"/>
  <c r="M210" i="2" s="1"/>
  <c r="L206" i="2"/>
  <c r="M206" i="2" s="1"/>
  <c r="L200" i="2"/>
  <c r="M81" i="2"/>
  <c r="M95" i="2"/>
  <c r="M116" i="2"/>
  <c r="W116" i="2" s="1"/>
  <c r="L134" i="2" a="1"/>
  <c r="L156" i="2" s="1"/>
  <c r="M121" i="2"/>
  <c r="W121" i="2" s="1"/>
  <c r="M114" i="2"/>
  <c r="W114" i="2" s="1"/>
  <c r="M87" i="2"/>
  <c r="M93" i="2"/>
  <c r="M105" i="2"/>
  <c r="W105" i="2" s="1"/>
  <c r="M80" i="2"/>
  <c r="M216" i="2"/>
  <c r="J183" i="2"/>
  <c r="J182" i="2"/>
  <c r="J180" i="2"/>
  <c r="J185" i="2"/>
  <c r="J169" i="2"/>
  <c r="L179" i="2"/>
  <c r="L174" i="2"/>
  <c r="N158" i="2"/>
  <c r="N146" i="2"/>
  <c r="N142" i="2"/>
  <c r="N143" i="2"/>
  <c r="N157" i="2"/>
  <c r="N152" i="2"/>
  <c r="N156" i="2"/>
  <c r="N140" i="2"/>
  <c r="N135" i="2"/>
  <c r="N139" i="2"/>
  <c r="J155" i="2"/>
  <c r="J151" i="2"/>
  <c r="J143" i="2"/>
  <c r="J139" i="2"/>
  <c r="J135" i="2"/>
  <c r="J154" i="2"/>
  <c r="J150" i="2"/>
  <c r="J146" i="2"/>
  <c r="J138" i="2"/>
  <c r="J157" i="2"/>
  <c r="J153" i="2"/>
  <c r="J145" i="2"/>
  <c r="J141" i="2"/>
  <c r="J137" i="2"/>
  <c r="J156" i="2"/>
  <c r="J152" i="2"/>
  <c r="J148" i="2"/>
  <c r="J140" i="2"/>
  <c r="J136" i="2"/>
  <c r="E224" i="2"/>
  <c r="M84" i="2" l="1"/>
  <c r="M98" i="2"/>
  <c r="J144" i="2"/>
  <c r="J134" i="2"/>
  <c r="J149" i="2"/>
  <c r="J142" i="2"/>
  <c r="J158" i="2"/>
  <c r="N144" i="2"/>
  <c r="N136" i="2"/>
  <c r="N148" i="2"/>
  <c r="L165" i="2"/>
  <c r="L188" i="2"/>
  <c r="J181" i="2"/>
  <c r="M197" i="2"/>
  <c r="M198" i="2"/>
  <c r="M217" i="2"/>
  <c r="M123" i="2"/>
  <c r="W123" i="2" s="1"/>
  <c r="L164" i="2"/>
  <c r="M199" i="2"/>
  <c r="M208" i="2"/>
  <c r="M215" i="2"/>
  <c r="M111" i="2"/>
  <c r="W111" i="2" s="1"/>
  <c r="M97" i="2"/>
  <c r="N155" i="2"/>
  <c r="N151" i="2"/>
  <c r="N147" i="2"/>
  <c r="N137" i="2"/>
  <c r="N138" i="2"/>
  <c r="N154" i="2"/>
  <c r="M213" i="2"/>
  <c r="M109" i="2"/>
  <c r="W109" i="2" s="1"/>
  <c r="M83" i="2"/>
  <c r="N149" i="2"/>
  <c r="N145" i="2"/>
  <c r="N141" i="2"/>
  <c r="N134" i="2"/>
  <c r="S219" i="2" s="1"/>
  <c r="N153" i="2"/>
  <c r="L169" i="2"/>
  <c r="L172" i="2"/>
  <c r="M85" i="2"/>
  <c r="M89" i="2"/>
  <c r="M82" i="2"/>
  <c r="L177" i="2"/>
  <c r="L185" i="2"/>
  <c r="M185" i="2" s="1"/>
  <c r="L178" i="2"/>
  <c r="L167" i="2"/>
  <c r="M167" i="2" s="1"/>
  <c r="L183" i="2"/>
  <c r="L176" i="2"/>
  <c r="J176" i="2"/>
  <c r="J166" i="2"/>
  <c r="M166" i="2" s="1"/>
  <c r="J164" i="2"/>
  <c r="J188" i="2"/>
  <c r="J170" i="2"/>
  <c r="J186" i="2"/>
  <c r="M186" i="2" s="1"/>
  <c r="J187" i="2"/>
  <c r="M196" i="2"/>
  <c r="L166" i="2"/>
  <c r="L173" i="2"/>
  <c r="M173" i="2" s="1"/>
  <c r="L182" i="2"/>
  <c r="L171" i="2"/>
  <c r="L187" i="2"/>
  <c r="L180" i="2"/>
  <c r="M180" i="2" s="1"/>
  <c r="J184" i="2"/>
  <c r="J171" i="2"/>
  <c r="M171" i="2" s="1"/>
  <c r="J167" i="2"/>
  <c r="J168" i="2"/>
  <c r="M168" i="2" s="1"/>
  <c r="J174" i="2"/>
  <c r="J175" i="2"/>
  <c r="M107" i="2"/>
  <c r="W107" i="2" s="1"/>
  <c r="M118" i="2"/>
  <c r="W118" i="2" s="1"/>
  <c r="G37" i="2" s="1"/>
  <c r="L181" i="2"/>
  <c r="L170" i="2"/>
  <c r="M170" i="2" s="1"/>
  <c r="L186" i="2"/>
  <c r="L175" i="2"/>
  <c r="M175" i="2" s="1"/>
  <c r="L168" i="2"/>
  <c r="J165" i="2"/>
  <c r="J177" i="2"/>
  <c r="J172" i="2"/>
  <c r="M172" i="2" s="1"/>
  <c r="J173" i="2"/>
  <c r="J178" i="2"/>
  <c r="M100" i="2"/>
  <c r="M200" i="2"/>
  <c r="M76" i="2"/>
  <c r="N187" i="2"/>
  <c r="N170" i="2"/>
  <c r="N188" i="2"/>
  <c r="N167" i="2"/>
  <c r="N169" i="2"/>
  <c r="N179" i="2"/>
  <c r="N181" i="2"/>
  <c r="N174" i="2"/>
  <c r="N176" i="2"/>
  <c r="N166" i="2"/>
  <c r="N164" i="2"/>
  <c r="N183" i="2"/>
  <c r="N180" i="2"/>
  <c r="N177" i="2"/>
  <c r="N186" i="2"/>
  <c r="N171" i="2"/>
  <c r="N172" i="2"/>
  <c r="N165" i="2"/>
  <c r="N185" i="2"/>
  <c r="F224" i="2"/>
  <c r="G224" i="2" s="1"/>
  <c r="N182" i="2"/>
  <c r="N178" i="2"/>
  <c r="N175" i="2"/>
  <c r="N168" i="2"/>
  <c r="N184" i="2"/>
  <c r="L153" i="2"/>
  <c r="M153" i="2" s="1"/>
  <c r="L151" i="2"/>
  <c r="M151" i="2" s="1"/>
  <c r="L141" i="2"/>
  <c r="M141" i="2" s="1"/>
  <c r="L157" i="2"/>
  <c r="M157" i="2" s="1"/>
  <c r="L150" i="2"/>
  <c r="L139" i="2"/>
  <c r="L155" i="2"/>
  <c r="M155" i="2" s="1"/>
  <c r="L148" i="2"/>
  <c r="M148" i="2" s="1"/>
  <c r="L145" i="2"/>
  <c r="M145" i="2" s="1"/>
  <c r="L154" i="2"/>
  <c r="M154" i="2" s="1"/>
  <c r="L143" i="2"/>
  <c r="M143" i="2" s="1"/>
  <c r="L152" i="2"/>
  <c r="M152" i="2" s="1"/>
  <c r="M150" i="2"/>
  <c r="M139" i="2"/>
  <c r="L137" i="2"/>
  <c r="M137" i="2" s="1"/>
  <c r="L146" i="2"/>
  <c r="M146" i="2" s="1"/>
  <c r="L135" i="2"/>
  <c r="M135" i="2" s="1"/>
  <c r="L144" i="2"/>
  <c r="M144" i="2" s="1"/>
  <c r="L138" i="2"/>
  <c r="M138" i="2" s="1"/>
  <c r="L136" i="2"/>
  <c r="M136" i="2" s="1"/>
  <c r="L134" i="2"/>
  <c r="L149" i="2"/>
  <c r="M149" i="2" s="1"/>
  <c r="L142" i="2"/>
  <c r="M142" i="2" s="1"/>
  <c r="L158" i="2"/>
  <c r="M158" i="2" s="1"/>
  <c r="L147" i="2"/>
  <c r="M147" i="2" s="1"/>
  <c r="L140" i="2"/>
  <c r="M140" i="2" s="1"/>
  <c r="M156" i="2"/>
  <c r="M184" i="2"/>
  <c r="M174" i="2"/>
  <c r="M177" i="2"/>
  <c r="M165" i="2"/>
  <c r="M178" i="2"/>
  <c r="M179" i="2"/>
  <c r="M181" i="2"/>
  <c r="M182" i="2"/>
  <c r="M183" i="2"/>
  <c r="M169" i="2"/>
  <c r="S151" i="2"/>
  <c r="S209" i="2"/>
  <c r="S158" i="2"/>
  <c r="M176" i="2"/>
  <c r="M164" i="2"/>
  <c r="M188" i="2"/>
  <c r="M187" i="2"/>
  <c r="C224" i="2"/>
  <c r="R151" i="2" l="1"/>
  <c r="S159" i="2"/>
  <c r="G34" i="2"/>
  <c r="S211" i="2"/>
  <c r="V211" i="2" s="1"/>
  <c r="Y197" i="2" s="1"/>
  <c r="S210" i="2"/>
  <c r="M134" i="2"/>
  <c r="S153" i="2"/>
  <c r="S208" i="2"/>
  <c r="S157" i="2"/>
  <c r="S148" i="2"/>
  <c r="S149" i="2"/>
  <c r="R154" i="2"/>
  <c r="S214" i="2"/>
  <c r="S154" i="2"/>
  <c r="R153" i="2"/>
  <c r="R213" i="2"/>
  <c r="W199" i="2" s="1"/>
  <c r="S212" i="2"/>
  <c r="S150" i="2"/>
  <c r="S218" i="2"/>
  <c r="S215" i="2"/>
  <c r="V215" i="2" s="1"/>
  <c r="Y201" i="2" s="1"/>
  <c r="S155" i="2"/>
  <c r="S213" i="2"/>
  <c r="V213" i="2" s="1"/>
  <c r="Y199" i="2" s="1"/>
  <c r="R214" i="2"/>
  <c r="S217" i="2"/>
  <c r="V217" i="2" s="1"/>
  <c r="Y203" i="2" s="1"/>
  <c r="S156" i="2"/>
  <c r="S152" i="2"/>
  <c r="S216" i="2"/>
  <c r="R208" i="2"/>
  <c r="R210" i="2"/>
  <c r="R152" i="2"/>
  <c r="H224" i="2"/>
  <c r="D224" i="2" s="1"/>
  <c r="R150" i="2"/>
  <c r="S178" i="2"/>
  <c r="S181" i="2"/>
  <c r="S188" i="2"/>
  <c r="R157" i="2"/>
  <c r="S182" i="2"/>
  <c r="R216" i="2"/>
  <c r="W202" i="2" s="1"/>
  <c r="R215" i="2"/>
  <c r="R155" i="2"/>
  <c r="R218" i="2"/>
  <c r="R158" i="2"/>
  <c r="R187" i="2"/>
  <c r="R186" i="2"/>
  <c r="S184" i="2"/>
  <c r="S180" i="2"/>
  <c r="S185" i="2"/>
  <c r="S183" i="2"/>
  <c r="S187" i="2"/>
  <c r="S189" i="2"/>
  <c r="S186" i="2"/>
  <c r="S179" i="2"/>
  <c r="R185" i="2"/>
  <c r="R209" i="2"/>
  <c r="R182" i="2"/>
  <c r="R148" i="2"/>
  <c r="R219" i="2"/>
  <c r="W205" i="2" s="1"/>
  <c r="R181" i="2"/>
  <c r="R149" i="2"/>
  <c r="R178" i="2"/>
  <c r="R179" i="2"/>
  <c r="R188" i="2"/>
  <c r="R217" i="2"/>
  <c r="W203" i="2" s="1"/>
  <c r="R183" i="2"/>
  <c r="R212" i="2"/>
  <c r="R184" i="2"/>
  <c r="R180" i="2"/>
  <c r="R159" i="2"/>
  <c r="R156" i="2"/>
  <c r="R189" i="2"/>
  <c r="R211" i="2"/>
  <c r="W197" i="2" s="1"/>
  <c r="V219" i="2"/>
  <c r="Y205" i="2" s="1"/>
  <c r="V212" i="2"/>
  <c r="Y198" i="2" s="1"/>
  <c r="V210" i="2"/>
  <c r="Y196" i="2" s="1"/>
  <c r="V209" i="2"/>
  <c r="Y195" i="2" s="1"/>
  <c r="V208" i="2"/>
  <c r="Y194" i="2" s="1"/>
  <c r="V218" i="2"/>
  <c r="Y204" i="2" s="1"/>
  <c r="V214" i="2"/>
  <c r="Y200" i="2" s="1"/>
  <c r="V216" i="2"/>
  <c r="Y202" i="2" s="1"/>
  <c r="G36" i="2" l="1"/>
  <c r="U147" i="2"/>
  <c r="U152" i="2" s="1"/>
  <c r="W138" i="2" s="1"/>
  <c r="U177" i="2"/>
  <c r="V187" i="2" s="1"/>
  <c r="Y173" i="2" s="1"/>
  <c r="C239" i="2"/>
  <c r="C237" i="2"/>
  <c r="C241" i="2"/>
  <c r="E239" i="2"/>
  <c r="E241" i="2"/>
  <c r="E234" i="2"/>
  <c r="C231" i="2"/>
  <c r="C234" i="2"/>
  <c r="E231" i="2"/>
  <c r="C254" i="2"/>
  <c r="E254" i="2"/>
  <c r="C261" i="2"/>
  <c r="C242" i="2"/>
  <c r="C244" i="2"/>
  <c r="E252" i="2"/>
  <c r="C252" i="2"/>
  <c r="C258" i="2"/>
  <c r="E242" i="2"/>
  <c r="E258" i="2"/>
  <c r="E244" i="2"/>
  <c r="V152" i="2" l="1"/>
  <c r="Y138" i="2" s="1"/>
  <c r="U151" i="2"/>
  <c r="W137" i="2" s="1"/>
  <c r="U153" i="2"/>
  <c r="W139" i="2" s="1"/>
  <c r="U156" i="2"/>
  <c r="W142" i="2" s="1"/>
  <c r="U155" i="2"/>
  <c r="W141" i="2" s="1"/>
  <c r="V150" i="2"/>
  <c r="Y136" i="2" s="1"/>
  <c r="V153" i="2"/>
  <c r="Y139" i="2" s="1"/>
  <c r="U184" i="2"/>
  <c r="W170" i="2" s="1"/>
  <c r="V186" i="2"/>
  <c r="Y172" i="2" s="1"/>
  <c r="V185" i="2"/>
  <c r="Y171" i="2" s="1"/>
  <c r="U186" i="2"/>
  <c r="W172" i="2" s="1"/>
  <c r="U189" i="2"/>
  <c r="W175" i="2" s="1"/>
  <c r="V157" i="2"/>
  <c r="Y143" i="2" s="1"/>
  <c r="U157" i="2"/>
  <c r="W143" i="2" s="1"/>
  <c r="V155" i="2"/>
  <c r="Y141" i="2" s="1"/>
  <c r="U180" i="2"/>
  <c r="W166" i="2" s="1"/>
  <c r="U188" i="2"/>
  <c r="W174" i="2" s="1"/>
  <c r="U148" i="2"/>
  <c r="W134" i="2" s="1"/>
  <c r="V148" i="2"/>
  <c r="Y134" i="2" s="1"/>
  <c r="V149" i="2"/>
  <c r="Y135" i="2" s="1"/>
  <c r="U154" i="2"/>
  <c r="W140" i="2" s="1"/>
  <c r="V180" i="2"/>
  <c r="Y166" i="2" s="1"/>
  <c r="V179" i="2"/>
  <c r="Y165" i="2" s="1"/>
  <c r="U182" i="2"/>
  <c r="W168" i="2" s="1"/>
  <c r="V158" i="2"/>
  <c r="Y144" i="2" s="1"/>
  <c r="U150" i="2"/>
  <c r="W136" i="2" s="1"/>
  <c r="V156" i="2"/>
  <c r="Y142" i="2" s="1"/>
  <c r="V159" i="2"/>
  <c r="Y145" i="2" s="1"/>
  <c r="U149" i="2"/>
  <c r="W135" i="2" s="1"/>
  <c r="U178" i="2"/>
  <c r="W164" i="2" s="1"/>
  <c r="U179" i="2"/>
  <c r="W165" i="2" s="1"/>
  <c r="U187" i="2"/>
  <c r="W173" i="2" s="1"/>
  <c r="V189" i="2"/>
  <c r="Y175" i="2" s="1"/>
  <c r="V154" i="2"/>
  <c r="Y140" i="2" s="1"/>
  <c r="U158" i="2"/>
  <c r="W144" i="2" s="1"/>
  <c r="V184" i="2"/>
  <c r="Y170" i="2" s="1"/>
  <c r="U183" i="2"/>
  <c r="W169" i="2" s="1"/>
  <c r="U159" i="2"/>
  <c r="W145" i="2" s="1"/>
  <c r="U181" i="2"/>
  <c r="W167" i="2" s="1"/>
  <c r="F241" i="2"/>
  <c r="G241" i="2" s="1"/>
  <c r="H241" i="2" s="1"/>
  <c r="D241" i="2" s="1"/>
  <c r="F239" i="2"/>
  <c r="G239" i="2" s="1"/>
  <c r="H239" i="2" s="1"/>
  <c r="V178" i="2"/>
  <c r="Y164" i="2" s="1"/>
  <c r="V151" i="2"/>
  <c r="Y137" i="2" s="1"/>
  <c r="V183" i="2"/>
  <c r="Y169" i="2" s="1"/>
  <c r="U185" i="2"/>
  <c r="W171" i="2" s="1"/>
  <c r="V181" i="2"/>
  <c r="Y167" i="2" s="1"/>
  <c r="V182" i="2"/>
  <c r="Y168" i="2" s="1"/>
  <c r="V188" i="2"/>
  <c r="Y174" i="2" s="1"/>
  <c r="F231" i="2"/>
  <c r="G231" i="2" s="1"/>
  <c r="H231" i="2" s="1"/>
  <c r="F234" i="2"/>
  <c r="F254" i="2"/>
  <c r="F244" i="2"/>
  <c r="G244" i="2" s="1"/>
  <c r="H244" i="2" s="1"/>
  <c r="F258" i="2"/>
  <c r="G258" i="2" s="1"/>
  <c r="F242" i="2"/>
  <c r="G242" i="2" s="1"/>
  <c r="H242" i="2" s="1"/>
  <c r="F252" i="2"/>
  <c r="G252" i="2" s="1"/>
  <c r="H252" i="2" s="1"/>
  <c r="C229" i="2"/>
  <c r="E229" i="2"/>
  <c r="C262" i="2"/>
  <c r="E262" i="2"/>
  <c r="C222" i="2" a="1"/>
  <c r="E222" i="2"/>
  <c r="C235" i="2"/>
  <c r="C259" i="2"/>
  <c r="E259" i="2"/>
  <c r="E235" i="2"/>
  <c r="E248" i="2"/>
  <c r="C248" i="2"/>
  <c r="C257" i="2"/>
  <c r="E253" i="2"/>
  <c r="C225" i="2"/>
  <c r="C253" i="2"/>
  <c r="C227" i="2"/>
  <c r="E225" i="2"/>
  <c r="E245" i="2"/>
  <c r="C245" i="2"/>
  <c r="E227" i="2"/>
  <c r="E232" i="2"/>
  <c r="C232" i="2"/>
  <c r="C230" i="2"/>
  <c r="E238" i="2"/>
  <c r="E256" i="2"/>
  <c r="C226" i="2"/>
  <c r="C256" i="2"/>
  <c r="C238" i="2"/>
  <c r="E226" i="2"/>
  <c r="C228" i="2"/>
  <c r="E228" i="2"/>
  <c r="E233" i="2"/>
  <c r="C233" i="2"/>
  <c r="C255" i="2"/>
  <c r="E243" i="2"/>
  <c r="C223" i="2"/>
  <c r="C243" i="2"/>
  <c r="C240" i="2"/>
  <c r="E240" i="2"/>
  <c r="E223" i="2"/>
  <c r="E255" i="2"/>
  <c r="E236" i="2"/>
  <c r="C236" i="2"/>
  <c r="E246" i="2"/>
  <c r="E250" i="2"/>
  <c r="C250" i="2"/>
  <c r="E247" i="2"/>
  <c r="E260" i="2"/>
  <c r="C260" i="2"/>
  <c r="E249" i="2"/>
  <c r="E261" i="2"/>
  <c r="C251" i="2"/>
  <c r="C249" i="2"/>
  <c r="E251" i="2"/>
  <c r="C246" i="2"/>
  <c r="C247" i="2"/>
  <c r="E237" i="2"/>
  <c r="E257" i="2"/>
  <c r="E230" i="2"/>
  <c r="F229" i="2" l="1"/>
  <c r="G229" i="2" s="1"/>
  <c r="H229" i="2" s="1"/>
  <c r="D229" i="2" s="1"/>
  <c r="F262" i="2"/>
  <c r="G262" i="2" s="1"/>
  <c r="H262" i="2" s="1"/>
  <c r="F222" i="2"/>
  <c r="G222" i="2" s="1"/>
  <c r="C222" i="2"/>
  <c r="F248" i="2"/>
  <c r="G248" i="2" s="1"/>
  <c r="F235" i="2"/>
  <c r="G235" i="2" s="1"/>
  <c r="H235" i="2" s="1"/>
  <c r="D235" i="2" s="1"/>
  <c r="F259" i="2"/>
  <c r="G259" i="2" s="1"/>
  <c r="H259" i="2" s="1"/>
  <c r="D259" i="2" s="1"/>
  <c r="F232" i="2"/>
  <c r="G232" i="2" s="1"/>
  <c r="H232" i="2" s="1"/>
  <c r="F227" i="2"/>
  <c r="G227" i="2" s="1"/>
  <c r="H227" i="2" s="1"/>
  <c r="D227" i="2" s="1"/>
  <c r="F245" i="2"/>
  <c r="G245" i="2" s="1"/>
  <c r="F225" i="2"/>
  <c r="G225" i="2" s="1"/>
  <c r="H225" i="2" s="1"/>
  <c r="F253" i="2"/>
  <c r="G253" i="2" s="1"/>
  <c r="H253" i="2" s="1"/>
  <c r="F226" i="2"/>
  <c r="G226" i="2" s="1"/>
  <c r="F256" i="2"/>
  <c r="F238" i="2"/>
  <c r="F233" i="2"/>
  <c r="G233" i="2" s="1"/>
  <c r="H233" i="2" s="1"/>
  <c r="F228" i="2"/>
  <c r="G228" i="2" s="1"/>
  <c r="H228" i="2" s="1"/>
  <c r="D228" i="2" s="1"/>
  <c r="F236" i="2"/>
  <c r="F255" i="2"/>
  <c r="G255" i="2" s="1"/>
  <c r="H255" i="2" s="1"/>
  <c r="D255" i="2" s="1"/>
  <c r="F223" i="2"/>
  <c r="G223" i="2" s="1"/>
  <c r="F240" i="2"/>
  <c r="F243" i="2"/>
  <c r="G39" i="2"/>
  <c r="B12" i="1" a="1"/>
  <c r="B27" i="1" s="1"/>
  <c r="F251" i="2"/>
  <c r="G251" i="2" s="1"/>
  <c r="H251" i="2" s="1"/>
  <c r="D251" i="2" s="1"/>
  <c r="F261" i="2"/>
  <c r="G261" i="2" s="1"/>
  <c r="H261" i="2" s="1"/>
  <c r="F249" i="2"/>
  <c r="G249" i="2" s="1"/>
  <c r="H249" i="2" s="1"/>
  <c r="F260" i="2"/>
  <c r="G260" i="2" s="1"/>
  <c r="H260" i="2" s="1"/>
  <c r="D260" i="2" s="1"/>
  <c r="F247" i="2"/>
  <c r="G247" i="2" s="1"/>
  <c r="F250" i="2"/>
  <c r="G250" i="2" s="1"/>
  <c r="H250" i="2" s="1"/>
  <c r="F246" i="2"/>
  <c r="G246" i="2" s="1"/>
  <c r="G38" i="2"/>
  <c r="F257" i="2"/>
  <c r="G257" i="2" s="1"/>
  <c r="H257" i="2" s="1"/>
  <c r="D257" i="2" s="1"/>
  <c r="F237" i="2"/>
  <c r="D239" i="2"/>
  <c r="F230" i="2"/>
  <c r="G230" i="2" s="1"/>
  <c r="B9" i="1"/>
  <c r="G234" i="2"/>
  <c r="H234" i="2" s="1"/>
  <c r="D231" i="2"/>
  <c r="G236" i="2"/>
  <c r="H236" i="2" s="1"/>
  <c r="G238" i="2"/>
  <c r="H238" i="2" s="1"/>
  <c r="D253" i="2"/>
  <c r="G254" i="2"/>
  <c r="H254" i="2" s="1"/>
  <c r="D252" i="2"/>
  <c r="D225" i="2"/>
  <c r="D262" i="2"/>
  <c r="H258" i="2"/>
  <c r="D258" i="2" s="1"/>
  <c r="D242" i="2"/>
  <c r="D244" i="2"/>
  <c r="H222" i="2"/>
  <c r="D222" i="2" s="1"/>
  <c r="G243" i="2"/>
  <c r="H243" i="2" s="1"/>
  <c r="H245" i="2" l="1"/>
  <c r="D245" i="2" s="1"/>
  <c r="H248" i="2"/>
  <c r="D248" i="2" s="1"/>
  <c r="D232" i="2"/>
  <c r="G256" i="2"/>
  <c r="H256" i="2" s="1"/>
  <c r="B17" i="1"/>
  <c r="B22" i="1"/>
  <c r="H247" i="2"/>
  <c r="D247" i="2" s="1"/>
  <c r="B15" i="1"/>
  <c r="H226" i="2"/>
  <c r="D226" i="2" s="1"/>
  <c r="B18" i="1"/>
  <c r="B26" i="1"/>
  <c r="B16" i="1"/>
  <c r="B21" i="1"/>
  <c r="B19" i="1"/>
  <c r="H223" i="2"/>
  <c r="D223" i="2" s="1"/>
  <c r="B20" i="1"/>
  <c r="B24" i="1"/>
  <c r="B25" i="1"/>
  <c r="B23" i="1"/>
  <c r="B14" i="1"/>
  <c r="B13" i="1"/>
  <c r="B12" i="1"/>
  <c r="H246" i="2"/>
  <c r="D246" i="2" s="1"/>
  <c r="G240" i="2"/>
  <c r="H240" i="2" s="1"/>
  <c r="G237" i="2"/>
  <c r="H237" i="2" s="1"/>
  <c r="D249" i="2"/>
  <c r="D234" i="2"/>
  <c r="H230" i="2"/>
  <c r="D230" i="2" s="1"/>
  <c r="D233" i="2"/>
  <c r="D236" i="2"/>
  <c r="D238" i="2"/>
  <c r="D254" i="2"/>
  <c r="D250" i="2"/>
  <c r="D261" i="2"/>
  <c r="D243" i="2"/>
  <c r="D256" i="2" l="1"/>
  <c r="D237" i="2"/>
  <c r="I12" i="1" s="1" a="1"/>
  <c r="I26" i="1" s="1"/>
  <c r="D240" i="2"/>
  <c r="I17" i="1" l="1"/>
  <c r="I23" i="1"/>
  <c r="I21" i="1"/>
  <c r="I27" i="1"/>
  <c r="I14" i="1"/>
  <c r="I25" i="1"/>
  <c r="I13" i="1"/>
  <c r="I16" i="1"/>
  <c r="I18" i="1"/>
  <c r="I12" i="1"/>
  <c r="I20" i="1"/>
  <c r="I22" i="1"/>
  <c r="I19" i="1"/>
  <c r="I15" i="1"/>
  <c r="I24" i="1"/>
</calcChain>
</file>

<file path=xl/sharedStrings.xml><?xml version="1.0" encoding="utf-8"?>
<sst xmlns="http://schemas.openxmlformats.org/spreadsheetml/2006/main" count="510" uniqueCount="262">
  <si>
    <t>Jewelry Shop Inventory</t>
  </si>
  <si>
    <t>Merchant Information</t>
  </si>
  <si>
    <t>Inventory Types</t>
  </si>
  <si>
    <t>Probability</t>
  </si>
  <si>
    <t>d100 Range</t>
  </si>
  <si>
    <t>Stone Selection</t>
  </si>
  <si>
    <t>Item Quality</t>
  </si>
  <si>
    <t>Merchant Type</t>
  </si>
  <si>
    <t>Emporium</t>
  </si>
  <si>
    <t>Loose Stones</t>
  </si>
  <si>
    <t>Very Common</t>
  </si>
  <si>
    <t>Poor</t>
  </si>
  <si>
    <t>Merchant Wealth</t>
  </si>
  <si>
    <t>Average</t>
  </si>
  <si>
    <t>Plain Items</t>
  </si>
  <si>
    <t>Common</t>
  </si>
  <si>
    <t>Inventory Size</t>
  </si>
  <si>
    <t>Medium</t>
  </si>
  <si>
    <t>Items with Missing Stones</t>
  </si>
  <si>
    <t>Uncommon</t>
  </si>
  <si>
    <t>Fine</t>
  </si>
  <si>
    <t>Inventory</t>
  </si>
  <si>
    <t>Items with Set Stones</t>
  </si>
  <si>
    <t>Rare</t>
  </si>
  <si>
    <t>Masterwork</t>
  </si>
  <si>
    <t>Number of Items</t>
  </si>
  <si>
    <t>Items with Multiple Stones</t>
  </si>
  <si>
    <t>Very Rare</t>
  </si>
  <si>
    <t>Total Value of Items</t>
  </si>
  <si>
    <t>Items with Extreme Settings</t>
  </si>
  <si>
    <t>Uniquie</t>
  </si>
  <si>
    <t>Serial #</t>
  </si>
  <si>
    <t>Description</t>
  </si>
  <si>
    <t>Value</t>
  </si>
  <si>
    <t>Quantity</t>
  </si>
  <si>
    <t>Re-Randomizer</t>
  </si>
  <si>
    <t>Click to Refresh</t>
  </si>
  <si>
    <t>Item Type</t>
  </si>
  <si>
    <t>Stone Rarity</t>
  </si>
  <si>
    <t>Plain Item</t>
  </si>
  <si>
    <t>Missing Stone Item</t>
  </si>
  <si>
    <t>Set Stone Item</t>
  </si>
  <si>
    <t>Extreme Set Stone Item</t>
  </si>
  <si>
    <t>Merchant Types</t>
  </si>
  <si>
    <t>Plain</t>
  </si>
  <si>
    <t>Missing Stone(s)</t>
  </si>
  <si>
    <t>Set</t>
  </si>
  <si>
    <t>Multiple Set</t>
  </si>
  <si>
    <t>Extreme Set</t>
  </si>
  <si>
    <t>Total</t>
  </si>
  <si>
    <t>V.Common</t>
  </si>
  <si>
    <t>V.Rare</t>
  </si>
  <si>
    <t>Unique</t>
  </si>
  <si>
    <t>Master</t>
  </si>
  <si>
    <t>Peddler</t>
  </si>
  <si>
    <t>Roll 1 (Type)</t>
  </si>
  <si>
    <t>Roll 2 (Material)</t>
  </si>
  <si>
    <t>Roll 3 (Quality)</t>
  </si>
  <si>
    <t>Weight</t>
  </si>
  <si>
    <t>Roll 4 (Settings)</t>
  </si>
  <si>
    <t>Roll 5 (Empty Settings)</t>
  </si>
  <si>
    <t>Roll 6 (Gem)</t>
  </si>
  <si>
    <t>Roll 5 (Gem 1)</t>
  </si>
  <si>
    <t>Roll 6 (Gem 1#)</t>
  </si>
  <si>
    <t>Roll 7 (Gem 2)</t>
  </si>
  <si>
    <t>Roll 8 (Gem 2#)</t>
  </si>
  <si>
    <t>Roll 9 (Gem 3)</t>
  </si>
  <si>
    <t>Bazaar</t>
  </si>
  <si>
    <t>Pawn Shop</t>
  </si>
  <si>
    <t>Maker</t>
  </si>
  <si>
    <t>Upscale</t>
  </si>
  <si>
    <t>Elite</t>
  </si>
  <si>
    <t>Base Items</t>
  </si>
  <si>
    <t>Material</t>
  </si>
  <si>
    <t>Price/lbs</t>
  </si>
  <si>
    <t>Waste Mod</t>
  </si>
  <si>
    <t>Labor Mod</t>
  </si>
  <si>
    <t>Stones</t>
  </si>
  <si>
    <t>Items</t>
  </si>
  <si>
    <t>Small</t>
  </si>
  <si>
    <t>Wood/Leather</t>
  </si>
  <si>
    <t>Rarity</t>
  </si>
  <si>
    <t># of Types</t>
  </si>
  <si>
    <t>Stone Types</t>
  </si>
  <si>
    <t>Type</t>
  </si>
  <si>
    <t>Settings</t>
  </si>
  <si>
    <t>Max Settings</t>
  </si>
  <si>
    <t>Steel</t>
  </si>
  <si>
    <t>Star Sapphire</t>
  </si>
  <si>
    <t>Ring</t>
  </si>
  <si>
    <t>Large</t>
  </si>
  <si>
    <t>Brass</t>
  </si>
  <si>
    <t>Black Diamond</t>
  </si>
  <si>
    <t>Earrings</t>
  </si>
  <si>
    <t>Bronze</t>
  </si>
  <si>
    <t>Star Ruby</t>
  </si>
  <si>
    <t>Pendant</t>
  </si>
  <si>
    <t>Craftsmanship</t>
  </si>
  <si>
    <t>Value Modifier</t>
  </si>
  <si>
    <t>Copper</t>
  </si>
  <si>
    <t>Black Opal</t>
  </si>
  <si>
    <t>Necklace</t>
  </si>
  <si>
    <t>Low</t>
  </si>
  <si>
    <t>Silver</t>
  </si>
  <si>
    <t>Fire Opal</t>
  </si>
  <si>
    <t>Bracelet</t>
  </si>
  <si>
    <t>Electrum</t>
  </si>
  <si>
    <t>Black Sapphire</t>
  </si>
  <si>
    <t>Buckle</t>
  </si>
  <si>
    <t>High</t>
  </si>
  <si>
    <t>Gold</t>
  </si>
  <si>
    <t>Diamond</t>
  </si>
  <si>
    <t>Serving Tray</t>
  </si>
  <si>
    <t>Platinum</t>
  </si>
  <si>
    <t>Ruby</t>
  </si>
  <si>
    <t>Serving Spoon</t>
  </si>
  <si>
    <t>Mithril</t>
  </si>
  <si>
    <t>Opal</t>
  </si>
  <si>
    <t>Serving Fork</t>
  </si>
  <si>
    <t>Base Value</t>
  </si>
  <si>
    <t>Tier</t>
  </si>
  <si>
    <t>Roll Min</t>
  </si>
  <si>
    <t>Number of Types</t>
  </si>
  <si>
    <t>Sapphire</t>
  </si>
  <si>
    <t>Carving Knife</t>
  </si>
  <si>
    <t>Emerald</t>
  </si>
  <si>
    <t>Plate</t>
  </si>
  <si>
    <t>Gemstone Quality</t>
  </si>
  <si>
    <t>Label</t>
  </si>
  <si>
    <t>Amethyst</t>
  </si>
  <si>
    <t>Bowl (Small)</t>
  </si>
  <si>
    <t>Raw</t>
  </si>
  <si>
    <t>Topaz</t>
  </si>
  <si>
    <t>Cup</t>
  </si>
  <si>
    <t>Inferior Grade</t>
  </si>
  <si>
    <t>Amber</t>
  </si>
  <si>
    <t>Necklace (Large)</t>
  </si>
  <si>
    <t>Standard Grade</t>
  </si>
  <si>
    <t>Aquamarine</t>
  </si>
  <si>
    <t>Brooch</t>
  </si>
  <si>
    <t>Superior Grade</t>
  </si>
  <si>
    <t>Jade</t>
  </si>
  <si>
    <t>Dagger</t>
  </si>
  <si>
    <t>Flawless</t>
  </si>
  <si>
    <t>Pearl</t>
  </si>
  <si>
    <t>Circlet</t>
  </si>
  <si>
    <t>Wealth</t>
  </si>
  <si>
    <t>Roll Modifier</t>
  </si>
  <si>
    <t>Floor Mod</t>
  </si>
  <si>
    <t>Garnet</t>
  </si>
  <si>
    <t>Tankard</t>
  </si>
  <si>
    <t>Peridot</t>
  </si>
  <si>
    <t>Flask</t>
  </si>
  <si>
    <t>Loose</t>
  </si>
  <si>
    <t>Jet</t>
  </si>
  <si>
    <t>Bowl</t>
  </si>
  <si>
    <t>Wealthy</t>
  </si>
  <si>
    <t>Coral</t>
  </si>
  <si>
    <t>Tiara</t>
  </si>
  <si>
    <t>Missing</t>
  </si>
  <si>
    <t>Onyx</t>
  </si>
  <si>
    <t>Chalice</t>
  </si>
  <si>
    <t>Obsidian</t>
  </si>
  <si>
    <t>Figurine</t>
  </si>
  <si>
    <t>Craftsmanship Adjectives</t>
  </si>
  <si>
    <t>Multi</t>
  </si>
  <si>
    <t>Carnelian</t>
  </si>
  <si>
    <t>Bowl (Large)</t>
  </si>
  <si>
    <t>Extreme</t>
  </si>
  <si>
    <t>Turquoise</t>
  </si>
  <si>
    <t>Pitcher</t>
  </si>
  <si>
    <t>Rough</t>
  </si>
  <si>
    <t>Ordinary</t>
  </si>
  <si>
    <t>Fashionable</t>
  </si>
  <si>
    <t>Stunning</t>
  </si>
  <si>
    <t>Chacedony</t>
  </si>
  <si>
    <t>Dingy</t>
  </si>
  <si>
    <t>Unexceptional</t>
  </si>
  <si>
    <t>Elegant</t>
  </si>
  <si>
    <t>Exquisite</t>
  </si>
  <si>
    <t>Bloodstone</t>
  </si>
  <si>
    <t>Number of Common</t>
  </si>
  <si>
    <t>Tacky</t>
  </si>
  <si>
    <t>Fair</t>
  </si>
  <si>
    <t>Magnificient</t>
  </si>
  <si>
    <t>Moonstone</t>
  </si>
  <si>
    <t>Crude</t>
  </si>
  <si>
    <t>Splendid</t>
  </si>
  <si>
    <t>Striking</t>
  </si>
  <si>
    <t>Azurite</t>
  </si>
  <si>
    <t>Shabby</t>
  </si>
  <si>
    <t>Mediocre</t>
  </si>
  <si>
    <t>Superior</t>
  </si>
  <si>
    <t>Extraordinary</t>
  </si>
  <si>
    <t>Rose Quartz</t>
  </si>
  <si>
    <t>Tiger Eye</t>
  </si>
  <si>
    <t>Lapis Lazuli</t>
  </si>
  <si>
    <t>Hematite</t>
  </si>
  <si>
    <t>Current Selections</t>
  </si>
  <si>
    <t>Quartz</t>
  </si>
  <si>
    <t>Types</t>
  </si>
  <si>
    <t>d100 Low</t>
  </si>
  <si>
    <t>d100 High</t>
  </si>
  <si>
    <t>Rock Crystal</t>
  </si>
  <si>
    <t>Colored Glass Bead</t>
  </si>
  <si>
    <t>Wealth Mod</t>
  </si>
  <si>
    <t>Jasper</t>
  </si>
  <si>
    <t>Wealth Mod Offset</t>
  </si>
  <si>
    <t>Citrine</t>
  </si>
  <si>
    <t>Sardonyx</t>
  </si>
  <si>
    <t>Inventory Base</t>
  </si>
  <si>
    <t>Multi Set</t>
  </si>
  <si>
    <t>Malachite</t>
  </si>
  <si>
    <t>Ext. Set</t>
  </si>
  <si>
    <t>Moss Agate</t>
  </si>
  <si>
    <t>Quality</t>
  </si>
  <si>
    <t>Banded Agate</t>
  </si>
  <si>
    <t>Zircon</t>
  </si>
  <si>
    <t>Total Types</t>
  </si>
  <si>
    <t xml:space="preserve"> </t>
  </si>
  <si>
    <t>Roll 1 (Rarity)</t>
  </si>
  <si>
    <t>Roll 2 (Type)</t>
  </si>
  <si>
    <t>Rarity Tier</t>
  </si>
  <si>
    <t>Type Tier</t>
  </si>
  <si>
    <t>S/Q Mod</t>
  </si>
  <si>
    <t>Roll 3 (Size)</t>
  </si>
  <si>
    <t>Size</t>
  </si>
  <si>
    <t>Roll 4 (Quality)</t>
  </si>
  <si>
    <t>Adjective</t>
  </si>
  <si>
    <t>Modifier</t>
  </si>
  <si>
    <t>Modifiers</t>
  </si>
  <si>
    <t>Setting Mod</t>
  </si>
  <si>
    <t>Stones for Single Settings</t>
  </si>
  <si>
    <t>Single Setting Items</t>
  </si>
  <si>
    <t>Stones for Multiple Settings</t>
  </si>
  <si>
    <t>Multiple Set Items</t>
  </si>
  <si>
    <t># of Settings</t>
  </si>
  <si>
    <t># of Gem 1</t>
  </si>
  <si>
    <t>Gem 1</t>
  </si>
  <si>
    <t>Gem 1 Value</t>
  </si>
  <si>
    <t># of Gem 2</t>
  </si>
  <si>
    <t>Gem 2</t>
  </si>
  <si>
    <t>Gem 2 Value</t>
  </si>
  <si>
    <t>Stones for Extreme Settings</t>
  </si>
  <si>
    <t>Extreme Set Items</t>
  </si>
  <si>
    <t>Stones for Missing Settings</t>
  </si>
  <si>
    <t>Missing Settings</t>
  </si>
  <si>
    <t>Type Range</t>
  </si>
  <si>
    <t>Roll</t>
  </si>
  <si>
    <t>Currency</t>
  </si>
  <si>
    <t>LooseRange</t>
  </si>
  <si>
    <t>LooseValue</t>
  </si>
  <si>
    <t>PlainRange</t>
  </si>
  <si>
    <t>PlainValue</t>
  </si>
  <si>
    <t>MissingRange</t>
  </si>
  <si>
    <t>MissingValue</t>
  </si>
  <si>
    <t>SetRange</t>
  </si>
  <si>
    <t>SetValue</t>
  </si>
  <si>
    <t>MultiRange</t>
  </si>
  <si>
    <t>MultiValue</t>
  </si>
  <si>
    <t>ExtremeRange</t>
  </si>
  <si>
    <t>ExtremeValue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</si>
</sst>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7">
    <font>
      <sz val="10"/>
      <color rgb="FF000000"/>
      <name val="Arial"/>
    </font>
    <font>
      <sz val="36"/>
      <name val="Arial"/>
    </font>
    <font>
      <sz val="10"/>
      <name val="Arial"/>
    </font>
    <font>
      <sz val="10"/>
      <name val="Arial"/>
    </font>
    <font>
      <sz val="11"/>
      <color rgb="FF000000"/>
      <name val="Inconsolata"/>
    </font>
    <font>
      <sz val="10"/>
      <color rgb="FFFFFF00"/>
      <name val="Arial"/>
      <family val="2"/>
      <charset val="204"/>
    </font>
    <font>
      <b/>
      <sz val="10"/>
      <color rgb="FFFFFF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234">
    <xf numFmtId="0" fontId="0" fillId="0" borderId="0" xfId="0" applyFont="1" applyAlignment="1"/>
    <xf numFmtId="0" fontId="2" fillId="3" borderId="0" xfId="0" applyFont="1" applyFill="1"/>
    <xf numFmtId="0" fontId="2" fillId="3" borderId="0" xfId="0" applyFont="1" applyFill="1" applyAlignment="1"/>
    <xf numFmtId="0" fontId="2" fillId="0" borderId="1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6" xfId="0" applyFont="1" applyFill="1" applyBorder="1" applyAlignment="1"/>
    <xf numFmtId="0" fontId="2" fillId="0" borderId="7" xfId="0" applyFont="1" applyBorder="1" applyAlignment="1"/>
    <xf numFmtId="9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5" borderId="8" xfId="0" applyFont="1" applyFill="1" applyBorder="1" applyAlignment="1"/>
    <xf numFmtId="9" fontId="2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3" borderId="10" xfId="0" applyFont="1" applyFill="1" applyBorder="1" applyAlignment="1"/>
    <xf numFmtId="0" fontId="2" fillId="0" borderId="11" xfId="0" applyFont="1" applyBorder="1" applyAlignment="1"/>
    <xf numFmtId="9" fontId="2" fillId="0" borderId="13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3" borderId="14" xfId="0" applyFont="1" applyFill="1" applyBorder="1" applyAlignment="1"/>
    <xf numFmtId="0" fontId="2" fillId="3" borderId="14" xfId="0" applyFont="1" applyFill="1" applyBorder="1"/>
    <xf numFmtId="0" fontId="2" fillId="7" borderId="14" xfId="0" applyFont="1" applyFill="1" applyBorder="1" applyAlignment="1"/>
    <xf numFmtId="2" fontId="2" fillId="7" borderId="14" xfId="0" applyNumberFormat="1" applyFont="1" applyFill="1" applyBorder="1" applyAlignment="1">
      <alignment horizontal="right"/>
    </xf>
    <xf numFmtId="0" fontId="2" fillId="0" borderId="14" xfId="0" applyFont="1" applyBorder="1" applyAlignment="1">
      <alignment horizontal="left"/>
    </xf>
    <xf numFmtId="0" fontId="2" fillId="0" borderId="14" xfId="0" applyFont="1" applyBorder="1" applyAlignment="1"/>
    <xf numFmtId="0" fontId="2" fillId="0" borderId="6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4" xfId="0" applyFont="1" applyBorder="1"/>
    <xf numFmtId="0" fontId="2" fillId="0" borderId="5" xfId="0" applyFont="1" applyBorder="1"/>
    <xf numFmtId="0" fontId="2" fillId="0" borderId="15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/>
    <xf numFmtId="0" fontId="2" fillId="0" borderId="7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2" fillId="0" borderId="7" xfId="0" applyFont="1" applyBorder="1" applyAlignment="1">
      <alignment horizontal="right" vertical="top"/>
    </xf>
    <xf numFmtId="0" fontId="2" fillId="0" borderId="10" xfId="0" applyFont="1" applyBorder="1" applyAlignment="1">
      <alignment vertical="top" wrapText="1"/>
    </xf>
    <xf numFmtId="0" fontId="2" fillId="0" borderId="13" xfId="0" applyFont="1" applyBorder="1"/>
    <xf numFmtId="0" fontId="2" fillId="0" borderId="12" xfId="0" applyFont="1" applyBorder="1"/>
    <xf numFmtId="0" fontId="2" fillId="0" borderId="11" xfId="0" applyFont="1" applyBorder="1" applyAlignment="1">
      <alignment horizontal="right" vertical="top"/>
    </xf>
    <xf numFmtId="0" fontId="2" fillId="0" borderId="1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0" fontId="2" fillId="0" borderId="15" xfId="0" applyFont="1" applyBorder="1"/>
    <xf numFmtId="0" fontId="2" fillId="0" borderId="17" xfId="0" applyFont="1" applyBorder="1" applyAlignment="1"/>
    <xf numFmtId="9" fontId="2" fillId="0" borderId="18" xfId="0" applyNumberFormat="1" applyFont="1" applyBorder="1" applyAlignment="1"/>
    <xf numFmtId="9" fontId="2" fillId="0" borderId="19" xfId="0" applyNumberFormat="1" applyFont="1" applyBorder="1" applyAlignment="1"/>
    <xf numFmtId="9" fontId="2" fillId="0" borderId="20" xfId="0" applyNumberFormat="1" applyFont="1" applyBorder="1" applyAlignment="1"/>
    <xf numFmtId="9" fontId="2" fillId="0" borderId="21" xfId="0" applyNumberFormat="1" applyFont="1" applyBorder="1" applyAlignment="1"/>
    <xf numFmtId="9" fontId="2" fillId="0" borderId="20" xfId="0" applyNumberFormat="1" applyFont="1" applyBorder="1"/>
    <xf numFmtId="9" fontId="2" fillId="0" borderId="22" xfId="0" applyNumberFormat="1" applyFont="1" applyBorder="1" applyAlignment="1"/>
    <xf numFmtId="9" fontId="2" fillId="0" borderId="23" xfId="0" applyNumberFormat="1" applyFont="1" applyBorder="1" applyAlignment="1"/>
    <xf numFmtId="9" fontId="2" fillId="0" borderId="24" xfId="0" applyNumberFormat="1" applyFont="1" applyBorder="1" applyAlignment="1"/>
    <xf numFmtId="9" fontId="2" fillId="0" borderId="25" xfId="0" applyNumberFormat="1" applyFont="1" applyBorder="1" applyAlignment="1"/>
    <xf numFmtId="9" fontId="2" fillId="0" borderId="24" xfId="0" applyNumberFormat="1" applyFont="1" applyBorder="1"/>
    <xf numFmtId="0" fontId="2" fillId="0" borderId="8" xfId="0" applyFont="1" applyBorder="1" applyAlignment="1"/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/>
    <xf numFmtId="0" fontId="2" fillId="0" borderId="15" xfId="0" applyFont="1" applyBorder="1" applyAlignment="1"/>
    <xf numFmtId="0" fontId="2" fillId="0" borderId="10" xfId="0" applyFont="1" applyBorder="1" applyAlignment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/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4" fontId="2" fillId="0" borderId="8" xfId="0" applyNumberFormat="1" applyFont="1" applyBorder="1" applyAlignment="1"/>
    <xf numFmtId="0" fontId="2" fillId="8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164" fontId="2" fillId="0" borderId="10" xfId="0" applyNumberFormat="1" applyFont="1" applyBorder="1" applyAlignment="1"/>
    <xf numFmtId="0" fontId="2" fillId="0" borderId="3" xfId="0" applyFont="1" applyBorder="1" applyAlignment="1"/>
    <xf numFmtId="0" fontId="2" fillId="0" borderId="14" xfId="0" applyFont="1" applyBorder="1"/>
    <xf numFmtId="0" fontId="2" fillId="0" borderId="0" xfId="0" applyFont="1" applyAlignment="1"/>
    <xf numFmtId="0" fontId="2" fillId="3" borderId="14" xfId="0" applyFont="1" applyFill="1" applyBorder="1" applyAlignment="1">
      <alignment horizontal="center" vertical="center"/>
    </xf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 applyAlignment="1"/>
    <xf numFmtId="0" fontId="2" fillId="0" borderId="12" xfId="0" applyFont="1" applyBorder="1" applyAlignment="1"/>
    <xf numFmtId="0" fontId="2" fillId="0" borderId="10" xfId="0" applyFont="1" applyBorder="1"/>
    <xf numFmtId="0" fontId="2" fillId="8" borderId="8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12" xfId="0" applyFont="1" applyBorder="1" applyAlignment="1"/>
    <xf numFmtId="9" fontId="2" fillId="0" borderId="8" xfId="0" applyNumberFormat="1" applyFont="1" applyBorder="1" applyAlignment="1"/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7" xfId="0" applyFont="1" applyBorder="1" applyAlignment="1">
      <alignment horizontal="center" vertical="center"/>
    </xf>
    <xf numFmtId="9" fontId="2" fillId="0" borderId="10" xfId="0" applyNumberFormat="1" applyFont="1" applyBorder="1" applyAlignment="1"/>
    <xf numFmtId="0" fontId="3" fillId="0" borderId="26" xfId="0" applyFont="1" applyBorder="1" applyAlignment="1"/>
    <xf numFmtId="0" fontId="3" fillId="0" borderId="0" xfId="0" applyFont="1" applyAlignment="1"/>
    <xf numFmtId="0" fontId="3" fillId="0" borderId="26" xfId="0" applyFont="1" applyBorder="1" applyAlignment="1"/>
    <xf numFmtId="0" fontId="3" fillId="0" borderId="26" xfId="0" applyFont="1" applyBorder="1" applyAlignment="1"/>
    <xf numFmtId="0" fontId="3" fillId="0" borderId="0" xfId="0" applyFont="1" applyAlignment="1"/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/>
    <xf numFmtId="0" fontId="2" fillId="0" borderId="16" xfId="0" applyFont="1" applyBorder="1" applyAlignment="1"/>
    <xf numFmtId="0" fontId="2" fillId="0" borderId="28" xfId="0" applyFont="1" applyBorder="1" applyAlignment="1"/>
    <xf numFmtId="0" fontId="2" fillId="0" borderId="1" xfId="0" applyFont="1" applyBorder="1"/>
    <xf numFmtId="9" fontId="2" fillId="0" borderId="27" xfId="0" applyNumberFormat="1" applyFont="1" applyBorder="1" applyAlignment="1"/>
    <xf numFmtId="0" fontId="2" fillId="0" borderId="28" xfId="0" applyFont="1" applyBorder="1"/>
    <xf numFmtId="9" fontId="2" fillId="0" borderId="1" xfId="0" applyNumberFormat="1" applyFont="1" applyBorder="1"/>
    <xf numFmtId="0" fontId="2" fillId="0" borderId="19" xfId="0" applyFont="1" applyBorder="1"/>
    <xf numFmtId="0" fontId="2" fillId="0" borderId="20" xfId="0" applyFont="1" applyBorder="1"/>
    <xf numFmtId="9" fontId="2" fillId="0" borderId="7" xfId="0" applyNumberFormat="1" applyFont="1" applyBorder="1"/>
    <xf numFmtId="0" fontId="2" fillId="3" borderId="23" xfId="0" applyFont="1" applyFill="1" applyBorder="1" applyAlignment="1"/>
    <xf numFmtId="9" fontId="2" fillId="3" borderId="19" xfId="0" applyNumberFormat="1" applyFont="1" applyFill="1" applyBorder="1"/>
    <xf numFmtId="0" fontId="2" fillId="3" borderId="27" xfId="0" applyFont="1" applyFill="1" applyBorder="1" applyAlignment="1"/>
    <xf numFmtId="0" fontId="2" fillId="3" borderId="28" xfId="0" applyFont="1" applyFill="1" applyBorder="1"/>
    <xf numFmtId="0" fontId="2" fillId="3" borderId="19" xfId="0" applyFont="1" applyFill="1" applyBorder="1"/>
    <xf numFmtId="0" fontId="2" fillId="3" borderId="20" xfId="0" applyFont="1" applyFill="1" applyBorder="1"/>
    <xf numFmtId="0" fontId="2" fillId="3" borderId="23" xfId="0" applyFont="1" applyFill="1" applyBorder="1"/>
    <xf numFmtId="0" fontId="2" fillId="3" borderId="24" xfId="0" applyFont="1" applyFill="1" applyBorder="1"/>
    <xf numFmtId="0" fontId="2" fillId="0" borderId="19" xfId="0" applyFont="1" applyBorder="1" applyAlignment="1"/>
    <xf numFmtId="0" fontId="2" fillId="0" borderId="20" xfId="0" applyFont="1" applyBorder="1" applyAlignment="1"/>
    <xf numFmtId="9" fontId="2" fillId="3" borderId="21" xfId="0" applyNumberFormat="1" applyFont="1" applyFill="1" applyBorder="1"/>
    <xf numFmtId="9" fontId="2" fillId="3" borderId="25" xfId="0" applyNumberFormat="1" applyFont="1" applyFill="1" applyBorder="1"/>
    <xf numFmtId="0" fontId="2" fillId="0" borderId="23" xfId="0" applyFont="1" applyBorder="1"/>
    <xf numFmtId="0" fontId="2" fillId="0" borderId="24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8" borderId="14" xfId="0" applyFont="1" applyFill="1" applyBorder="1"/>
    <xf numFmtId="0" fontId="2" fillId="0" borderId="6" xfId="0" applyFont="1" applyBorder="1" applyAlignment="1">
      <alignment horizontal="center"/>
    </xf>
    <xf numFmtId="0" fontId="2" fillId="0" borderId="1" xfId="0" applyFont="1" applyBorder="1" applyAlignment="1"/>
    <xf numFmtId="0" fontId="2" fillId="0" borderId="6" xfId="0" applyFont="1" applyBorder="1" applyAlignment="1">
      <alignment horizontal="center"/>
    </xf>
    <xf numFmtId="0" fontId="2" fillId="0" borderId="4" xfId="0" applyFont="1" applyBorder="1"/>
    <xf numFmtId="0" fontId="2" fillId="0" borderId="15" xfId="0" applyFont="1" applyBorder="1"/>
    <xf numFmtId="3" fontId="2" fillId="0" borderId="4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2" fillId="0" borderId="6" xfId="0" applyFont="1" applyBorder="1"/>
    <xf numFmtId="2" fontId="2" fillId="0" borderId="5" xfId="0" applyNumberFormat="1" applyFont="1" applyBorder="1"/>
    <xf numFmtId="2" fontId="2" fillId="0" borderId="6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0" xfId="0" applyFont="1"/>
    <xf numFmtId="0" fontId="2" fillId="0" borderId="7" xfId="0" applyFont="1" applyBorder="1"/>
    <xf numFmtId="3" fontId="2" fillId="0" borderId="0" xfId="0" applyNumberFormat="1" applyFont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2" fillId="0" borderId="8" xfId="0" applyFont="1" applyBorder="1"/>
    <xf numFmtId="2" fontId="2" fillId="0" borderId="9" xfId="0" applyNumberFormat="1" applyFont="1" applyBorder="1"/>
    <xf numFmtId="2" fontId="2" fillId="0" borderId="8" xfId="0" applyNumberFormat="1" applyFont="1" applyBorder="1"/>
    <xf numFmtId="0" fontId="2" fillId="0" borderId="7" xfId="0" applyFont="1" applyBorder="1" applyAlignment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13" xfId="0" applyFont="1" applyBorder="1"/>
    <xf numFmtId="3" fontId="2" fillId="0" borderId="13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0" fontId="2" fillId="0" borderId="10" xfId="0" applyFont="1" applyBorder="1"/>
    <xf numFmtId="2" fontId="2" fillId="0" borderId="12" xfId="0" applyNumberFormat="1" applyFont="1" applyBorder="1"/>
    <xf numFmtId="2" fontId="2" fillId="0" borderId="10" xfId="0" applyNumberFormat="1" applyFont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/>
    <xf numFmtId="0" fontId="3" fillId="0" borderId="0" xfId="0" applyFont="1" applyAlignment="1">
      <alignment horizontal="right"/>
    </xf>
    <xf numFmtId="0" fontId="3" fillId="0" borderId="15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9" xfId="0" applyFont="1" applyBorder="1" applyAlignment="1"/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>
      <alignment horizontal="right"/>
    </xf>
    <xf numFmtId="2" fontId="2" fillId="0" borderId="14" xfId="0" applyNumberFormat="1" applyFont="1" applyBorder="1" applyAlignment="1"/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3" fillId="8" borderId="10" xfId="0" applyFont="1" applyFill="1" applyBorder="1" applyAlignment="1"/>
    <xf numFmtId="0" fontId="3" fillId="0" borderId="12" xfId="0" applyFont="1" applyBorder="1" applyAlignment="1"/>
    <xf numFmtId="0" fontId="3" fillId="0" borderId="10" xfId="0" applyFont="1" applyBorder="1" applyAlignment="1"/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9" xfId="0" applyFont="1" applyBorder="1" applyAlignment="1">
      <alignment horizontal="center"/>
    </xf>
    <xf numFmtId="3" fontId="3" fillId="0" borderId="9" xfId="0" applyNumberFormat="1" applyFont="1" applyBorder="1" applyAlignment="1">
      <alignment horizontal="right"/>
    </xf>
    <xf numFmtId="3" fontId="3" fillId="0" borderId="0" xfId="0" applyNumberFormat="1" applyFont="1" applyAlignment="1"/>
    <xf numFmtId="1" fontId="3" fillId="0" borderId="6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6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1" fontId="3" fillId="0" borderId="8" xfId="0" applyNumberFormat="1" applyFont="1" applyBorder="1" applyAlignment="1">
      <alignment horizontal="center"/>
    </xf>
    <xf numFmtId="3" fontId="3" fillId="0" borderId="8" xfId="0" applyNumberFormat="1" applyFont="1" applyBorder="1" applyAlignment="1">
      <alignment horizontal="center"/>
    </xf>
    <xf numFmtId="0" fontId="3" fillId="0" borderId="7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>
      <alignment horizontal="center"/>
    </xf>
    <xf numFmtId="3" fontId="3" fillId="0" borderId="12" xfId="0" applyNumberFormat="1" applyFont="1" applyBorder="1" applyAlignment="1">
      <alignment horizontal="right"/>
    </xf>
    <xf numFmtId="3" fontId="3" fillId="0" borderId="13" xfId="0" applyNumberFormat="1" applyFont="1" applyBorder="1" applyAlignment="1"/>
    <xf numFmtId="1" fontId="3" fillId="0" borderId="10" xfId="0" applyNumberFormat="1" applyFont="1" applyBorder="1" applyAlignment="1">
      <alignment horizontal="center"/>
    </xf>
    <xf numFmtId="3" fontId="3" fillId="0" borderId="13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right"/>
    </xf>
    <xf numFmtId="0" fontId="3" fillId="0" borderId="10" xfId="0" applyFont="1" applyBorder="1" applyAlignment="1"/>
    <xf numFmtId="0" fontId="3" fillId="0" borderId="9" xfId="0" applyFont="1" applyBorder="1" applyAlignment="1">
      <alignment horizontal="center"/>
    </xf>
    <xf numFmtId="2" fontId="2" fillId="0" borderId="5" xfId="0" applyNumberFormat="1" applyFont="1" applyBorder="1"/>
    <xf numFmtId="2" fontId="2" fillId="0" borderId="9" xfId="0" applyNumberFormat="1" applyFont="1" applyBorder="1"/>
    <xf numFmtId="0" fontId="3" fillId="0" borderId="12" xfId="0" applyFont="1" applyBorder="1" applyAlignment="1">
      <alignment horizontal="center"/>
    </xf>
    <xf numFmtId="2" fontId="2" fillId="0" borderId="12" xfId="0" applyNumberFormat="1" applyFont="1" applyBorder="1"/>
    <xf numFmtId="0" fontId="4" fillId="3" borderId="0" xfId="0" applyFont="1" applyFill="1"/>
    <xf numFmtId="2" fontId="4" fillId="3" borderId="0" xfId="0" applyNumberFormat="1" applyFont="1" applyFill="1"/>
    <xf numFmtId="0" fontId="2" fillId="0" borderId="0" xfId="0" applyFont="1" applyAlignment="1">
      <alignment vertical="top"/>
    </xf>
    <xf numFmtId="0" fontId="2" fillId="0" borderId="7" xfId="0" applyFont="1" applyBorder="1" applyAlignment="1">
      <alignment vertical="top" wrapText="1"/>
    </xf>
    <xf numFmtId="0" fontId="0" fillId="0" borderId="0" xfId="0" applyFont="1" applyAlignment="1"/>
    <xf numFmtId="0" fontId="2" fillId="0" borderId="9" xfId="0" applyFont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3" borderId="1" xfId="0" applyFont="1" applyFill="1" applyBorder="1" applyAlignment="1"/>
    <xf numFmtId="0" fontId="2" fillId="3" borderId="3" xfId="0" applyFont="1" applyFill="1" applyBorder="1"/>
    <xf numFmtId="0" fontId="2" fillId="6" borderId="11" xfId="0" applyFont="1" applyFill="1" applyBorder="1" applyAlignment="1"/>
    <xf numFmtId="0" fontId="2" fillId="6" borderId="12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5" xfId="0" applyFont="1" applyBorder="1" applyAlignment="1">
      <alignment vertical="top" wrapText="1"/>
    </xf>
    <xf numFmtId="0" fontId="2" fillId="0" borderId="4" xfId="0" applyFont="1" applyBorder="1"/>
    <xf numFmtId="0" fontId="2" fillId="0" borderId="5" xfId="0" applyFont="1" applyBorder="1"/>
    <xf numFmtId="0" fontId="2" fillId="3" borderId="0" xfId="0" applyFont="1" applyFill="1"/>
    <xf numFmtId="0" fontId="2" fillId="0" borderId="11" xfId="0" applyFont="1" applyBorder="1" applyAlignment="1">
      <alignment vertical="top" wrapText="1"/>
    </xf>
    <xf numFmtId="0" fontId="2" fillId="0" borderId="13" xfId="0" applyFont="1" applyBorder="1"/>
    <xf numFmtId="0" fontId="2" fillId="0" borderId="12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/>
    <xf numFmtId="0" fontId="5" fillId="9" borderId="14" xfId="0" applyFont="1" applyFill="1" applyBorder="1" applyAlignment="1"/>
    <xf numFmtId="0" fontId="6" fillId="9" borderId="14" xfId="0" applyFont="1" applyFill="1" applyBorder="1" applyAlignment="1"/>
  </cellXfs>
  <cellStyles count="1">
    <cellStyle name="Звичайний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00"/>
        <name val="Arial"/>
        <family val="2"/>
        <charset val="204"/>
        <scheme val="none"/>
      </font>
      <fill>
        <patternFill patternType="solid">
          <fgColor indexed="64"/>
          <bgColor rgb="FF002060"/>
        </patternFill>
      </fill>
      <alignment horizontal="general" vertical="bottom" textRotation="0" wrapText="0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00"/>
        <name val="Arial"/>
        <family val="2"/>
        <charset val="204"/>
        <scheme val="none"/>
      </font>
      <fill>
        <patternFill patternType="solid">
          <fgColor indexed="64"/>
          <bgColor rgb="FF002060"/>
        </patternFill>
      </fill>
      <alignment horizontal="general" vertical="bottom" textRotation="0" wrapText="0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00"/>
        <name val="Arial"/>
        <family val="2"/>
        <charset val="204"/>
        <scheme val="none"/>
      </font>
      <fill>
        <patternFill patternType="solid">
          <fgColor indexed="64"/>
          <bgColor rgb="FF002060"/>
        </patternFill>
      </fill>
      <alignment horizontal="general" vertical="bottom" textRotation="0" wrapText="0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00"/>
        <name val="Arial"/>
        <family val="2"/>
        <charset val="204"/>
        <scheme val="none"/>
      </font>
      <fill>
        <patternFill patternType="solid">
          <fgColor indexed="64"/>
          <bgColor rgb="FF002060"/>
        </patternFill>
      </fill>
      <alignment horizontal="general" vertical="bottom" textRotation="0" wrapText="0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00"/>
        <name val="Arial"/>
        <family val="2"/>
        <charset val="204"/>
        <scheme val="none"/>
      </font>
      <fill>
        <patternFill patternType="solid">
          <fgColor indexed="64"/>
          <bgColor rgb="FF002060"/>
        </patternFill>
      </fill>
      <alignment horizontal="general" vertical="bottom" textRotation="0" wrapText="0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00"/>
        <name val="Arial"/>
        <family val="2"/>
        <charset val="204"/>
        <scheme val="none"/>
      </font>
      <fill>
        <patternFill patternType="solid">
          <fgColor indexed="64"/>
          <bgColor rgb="FF002060"/>
        </patternFill>
      </fill>
      <alignment horizontal="general" vertical="bottom" textRotation="0" wrapText="0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  <vertical/>
        <horizontal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2">
    <tableStyle name="Jewelry Shop Inventory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Jewelry Shop Inventory-style 2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Jewelry Shop Inventory-style 3" pivot="0" count="3" xr9:uid="{00000000-0011-0000-FFFF-FFFF02000000}">
      <tableStyleElement type="headerRow" dxfId="26"/>
      <tableStyleElement type="firstRowStripe" dxfId="25"/>
      <tableStyleElement type="secondRowStripe" dxfId="24"/>
    </tableStyle>
    <tableStyle name="Settings-style" pivot="0" count="2" xr9:uid="{00000000-0011-0000-FFFF-FFFF03000000}">
      <tableStyleElement type="firstRowStripe" dxfId="23"/>
      <tableStyleElement type="secondRowStripe" dxfId="22"/>
    </tableStyle>
    <tableStyle name="Settings-style 2" pivot="0" count="2" xr9:uid="{00000000-0011-0000-FFFF-FFFF04000000}">
      <tableStyleElement type="firstRowStripe" dxfId="21"/>
      <tableStyleElement type="secondRowStripe" dxfId="20"/>
    </tableStyle>
    <tableStyle name="Settings-style 3" pivot="0" count="2" xr9:uid="{00000000-0011-0000-FFFF-FFFF05000000}">
      <tableStyleElement type="firstRowStripe" dxfId="19"/>
      <tableStyleElement type="secondRowStripe" dxfId="18"/>
    </tableStyle>
    <tableStyle name="Settings-style 4" pivot="0" count="2" xr9:uid="{00000000-0011-0000-FFFF-FFFF06000000}">
      <tableStyleElement type="firstRowStripe" dxfId="17"/>
      <tableStyleElement type="secondRowStripe" dxfId="16"/>
    </tableStyle>
    <tableStyle name="Settings-style 5" pivot="0" count="2" xr9:uid="{00000000-0011-0000-FFFF-FFFF07000000}">
      <tableStyleElement type="firstRowStripe" dxfId="15"/>
      <tableStyleElement type="secondRowStripe" dxfId="14"/>
    </tableStyle>
    <tableStyle name="Settings-style 6" pivot="0" count="2" xr9:uid="{00000000-0011-0000-FFFF-FFFF08000000}">
      <tableStyleElement type="firstRowStripe" dxfId="13"/>
      <tableStyleElement type="secondRowStripe" dxfId="12"/>
    </tableStyle>
    <tableStyle name="Settings-style 7" pivot="0" count="2" xr9:uid="{00000000-0011-0000-FFFF-FFFF09000000}">
      <tableStyleElement type="firstRowStripe" dxfId="11"/>
      <tableStyleElement type="secondRowStripe" dxfId="10"/>
    </tableStyle>
    <tableStyle name="Settings-style 8" pivot="0" count="2" xr9:uid="{00000000-0011-0000-FFFF-FFFF0A000000}">
      <tableStyleElement type="firstRowStripe" dxfId="9"/>
      <tableStyleElement type="secondRowStripe" dxfId="8"/>
    </tableStyle>
    <tableStyle name="Settings-style 9" pivot="0" count="2" xr9:uid="{00000000-0011-0000-FFFF-FFFF0B000000}"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L3:N7">
  <tableColumns count="3">
    <tableColumn id="1" xr3:uid="{00000000-0010-0000-0000-000001000000}" name="Item Quality"/>
    <tableColumn id="2" xr3:uid="{00000000-0010-0000-0000-000002000000}" name="Probability"/>
    <tableColumn id="3" xr3:uid="{00000000-0010-0000-0000-000003000000}" name="d100 Range"/>
  </tableColumns>
  <tableStyleInfo name="Jewelry Shop Inventory-style 2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D3:F9">
  <tableColumns count="3">
    <tableColumn id="1" xr3:uid="{00000000-0010-0000-0100-000001000000}" name="Inventory Types"/>
    <tableColumn id="2" xr3:uid="{00000000-0010-0000-0100-000002000000}" name="Probability"/>
    <tableColumn id="3" xr3:uid="{00000000-0010-0000-0100-000003000000}" name="d100 Range"/>
  </tableColumns>
  <tableStyleInfo name="Jewelry Shop Inventory-style 3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4" displayName="Table_4" ref="F14:I24" headerRowCount="0">
  <tableColumns count="4">
    <tableColumn id="1" xr3:uid="{00000000-0010-0000-0200-000001000000}" name="Column1" dataDxfId="1"/>
    <tableColumn id="2" xr3:uid="{00000000-0010-0000-0200-000002000000}" name="Column2"/>
    <tableColumn id="3" xr3:uid="{00000000-0010-0000-0200-000003000000}" name="Column3"/>
    <tableColumn id="4" xr3:uid="{00000000-0010-0000-0200-000004000000}" name="Column4"/>
  </tableColumns>
  <tableStyleInfo name="Setting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_5" displayName="Table_5" ref="P14:T20" headerRowCount="0">
  <tableColumns count="5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</tableColumns>
  <tableStyleInfo name="Settings-style 2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_6" displayName="Table_6" ref="I222:I261" headerRowCount="0">
  <tableColumns count="1">
    <tableColumn id="1" xr3:uid="{00000000-0010-0000-0400-000001000000}" name="Column1"/>
  </tableColumns>
  <tableStyleInfo name="Settings-style 3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_7" displayName="Table_7" ref="A19:B22" headerRowCount="0">
  <tableColumns count="2">
    <tableColumn id="1" xr3:uid="{00000000-0010-0000-0500-000001000000}" name="Column1" dataDxfId="0"/>
    <tableColumn id="2" xr3:uid="{00000000-0010-0000-0500-000002000000}" name="Column2"/>
  </tableColumns>
  <tableStyleInfo name="Settings-style 4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_8" displayName="Table_8" ref="A33:C36" headerRowCount="0">
  <tableColumns count="3">
    <tableColumn id="1" xr3:uid="{00000000-0010-0000-0600-000001000000}" name="Column1" dataDxfId="4"/>
    <tableColumn id="2" xr3:uid="{00000000-0010-0000-0600-000002000000}" name="Column2"/>
    <tableColumn id="3" xr3:uid="{00000000-0010-0000-0600-000003000000}" name="Column3"/>
  </tableColumns>
  <tableStyleInfo name="Settings-style 5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_9" displayName="Table_9" ref="C57:F61" headerRowCount="0">
  <tableColumns count="4">
    <tableColumn id="1" xr3:uid="{00000000-0010-0000-0700-000001000000}" name="Column1" dataDxfId="5"/>
    <tableColumn id="2" xr3:uid="{00000000-0010-0000-0700-000002000000}" name="Column2"/>
    <tableColumn id="3" xr3:uid="{00000000-0010-0000-0700-000003000000}" name="Column3"/>
    <tableColumn id="4" xr3:uid="{00000000-0010-0000-0700-000004000000}" name="Column4"/>
  </tableColumns>
  <tableStyleInfo name="Settings-style 6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_10" displayName="Table_10" ref="A5:T11" headerRowCount="0">
  <tableColumns count="20">
    <tableColumn id="1" xr3:uid="{00000000-0010-0000-0800-000001000000}" name="Column1" dataDxfId="3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  <tableColumn id="6" xr3:uid="{00000000-0010-0000-0800-000006000000}" name="Column6"/>
    <tableColumn id="7" xr3:uid="{00000000-0010-0000-0800-000007000000}" name="Column7"/>
    <tableColumn id="8" xr3:uid="{00000000-0010-0000-0800-000008000000}" name="Column8"/>
    <tableColumn id="9" xr3:uid="{00000000-0010-0000-0800-000009000000}" name="Column9"/>
    <tableColumn id="10" xr3:uid="{00000000-0010-0000-0800-00000A000000}" name="Column10"/>
    <tableColumn id="11" xr3:uid="{00000000-0010-0000-0800-00000B000000}" name="Column11"/>
    <tableColumn id="12" xr3:uid="{00000000-0010-0000-0800-00000C000000}" name="Column12"/>
    <tableColumn id="13" xr3:uid="{00000000-0010-0000-0800-00000D000000}" name="Column13"/>
    <tableColumn id="14" xr3:uid="{00000000-0010-0000-0800-00000E000000}" name="Column14"/>
    <tableColumn id="15" xr3:uid="{00000000-0010-0000-0800-00000F000000}" name="Column15"/>
    <tableColumn id="16" xr3:uid="{00000000-0010-0000-0800-000010000000}" name="Column16"/>
    <tableColumn id="17" xr3:uid="{00000000-0010-0000-0800-000011000000}" name="Column17"/>
    <tableColumn id="18" xr3:uid="{00000000-0010-0000-0800-000012000000}" name="Column18"/>
    <tableColumn id="19" xr3:uid="{00000000-0010-0000-0800-000013000000}" name="Column19"/>
    <tableColumn id="20" xr3:uid="{00000000-0010-0000-0800-000014000000}" name="Column20"/>
  </tableColumns>
  <tableStyleInfo name="Settings-style 7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_11" displayName="Table_11" ref="A14:B16" headerRowCount="0">
  <tableColumns count="2">
    <tableColumn id="1" xr3:uid="{00000000-0010-0000-0900-000001000000}" name="Column1" dataDxfId="2"/>
    <tableColumn id="2" xr3:uid="{00000000-0010-0000-0900-000002000000}" name="Column2"/>
  </tableColumns>
  <tableStyleInfo name="Settings-style 8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_12" displayName="Table_12" ref="L59" headerRowCount="0">
  <tableColumns count="1">
    <tableColumn id="1" xr3:uid="{00000000-0010-0000-0A00-000001000000}" name="Column1"/>
  </tableColumns>
  <tableStyleInfo name="Settings-style 9" showFirstColumn="1" showLastColumn="1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selection sqref="A1:N1"/>
    </sheetView>
  </sheetViews>
  <sheetFormatPr defaultColWidth="14.42578125" defaultRowHeight="15.75" customHeight="1"/>
  <cols>
    <col min="1" max="1" width="16.7109375" customWidth="1"/>
    <col min="2" max="2" width="17.28515625" customWidth="1"/>
    <col min="3" max="3" width="1.5703125" customWidth="1"/>
    <col min="4" max="4" width="25.140625" customWidth="1"/>
    <col min="5" max="5" width="9.85546875" customWidth="1"/>
    <col min="6" max="6" width="11.42578125" customWidth="1"/>
    <col min="7" max="7" width="1.5703125" customWidth="1"/>
    <col min="8" max="8" width="16" customWidth="1"/>
    <col min="9" max="9" width="23.85546875" customWidth="1"/>
    <col min="10" max="10" width="12" customWidth="1"/>
    <col min="11" max="11" width="1.5703125" customWidth="1"/>
    <col min="12" max="12" width="12" customWidth="1"/>
    <col min="13" max="13" width="10.28515625" customWidth="1"/>
    <col min="14" max="14" width="12.28515625" customWidth="1"/>
  </cols>
  <sheetData>
    <row r="1" spans="1:29" ht="42.75" customHeight="1">
      <c r="A1" s="220" t="s">
        <v>0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>
      <c r="A3" s="210" t="s">
        <v>1</v>
      </c>
      <c r="B3" s="212"/>
      <c r="C3" s="1"/>
      <c r="D3" s="3" t="s">
        <v>2</v>
      </c>
      <c r="E3" s="4" t="s">
        <v>3</v>
      </c>
      <c r="F3" s="5" t="s">
        <v>4</v>
      </c>
      <c r="G3" s="1"/>
      <c r="H3" s="3" t="s">
        <v>5</v>
      </c>
      <c r="I3" s="6" t="s">
        <v>3</v>
      </c>
      <c r="J3" s="5" t="s">
        <v>4</v>
      </c>
      <c r="K3" s="1"/>
      <c r="L3" s="3" t="s">
        <v>6</v>
      </c>
      <c r="M3" s="6" t="s">
        <v>3</v>
      </c>
      <c r="N3" s="7" t="s">
        <v>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>
      <c r="A4" s="8" t="s">
        <v>7</v>
      </c>
      <c r="B4" s="8" t="s">
        <v>8</v>
      </c>
      <c r="C4" s="1"/>
      <c r="D4" s="9" t="s">
        <v>9</v>
      </c>
      <c r="E4" s="10">
        <f ca="1">OFFSET(ProbT,1,1)</f>
        <v>0.34</v>
      </c>
      <c r="F4" s="11" t="str">
        <f ca="1">CONCATENATE(OFFSET(ProbT,1,2)," to ",OFFSET(ProbT,1,3))</f>
        <v>1 to 34</v>
      </c>
      <c r="G4" s="1"/>
      <c r="H4" s="9" t="s">
        <v>10</v>
      </c>
      <c r="I4" s="10">
        <f t="array" aca="1" ref="I4:I9" ca="1">OFFSET(ProbR,0,2)</f>
        <v>0.3</v>
      </c>
      <c r="J4" s="11" t="str">
        <f ca="1">CONCATENATE(OFFSET(ProbR2,0,0)," to ",OFFSET(ProbR2,0,1))</f>
        <v>1 to 30</v>
      </c>
      <c r="K4" s="1"/>
      <c r="L4" s="9" t="s">
        <v>11</v>
      </c>
      <c r="M4" s="10">
        <f ca="1">OFFSET(ProbQ,1,1)</f>
        <v>0.05</v>
      </c>
      <c r="N4" s="11" t="str">
        <f ca="1">CONCATENATE(OFFSET(ProbQ,1,2)," to ",OFFSET(ProbQ,1,3))</f>
        <v>1 to 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>
      <c r="A5" s="12" t="s">
        <v>12</v>
      </c>
      <c r="B5" s="12" t="s">
        <v>13</v>
      </c>
      <c r="C5" s="1"/>
      <c r="D5" s="9" t="s">
        <v>14</v>
      </c>
      <c r="E5" s="13">
        <f ca="1">OFFSET(ProbT,2,1)</f>
        <v>0.25</v>
      </c>
      <c r="F5" s="14" t="str">
        <f ca="1">CONCATENATE(OFFSET(ProbT,2,2)," to ",OFFSET(ProbT,2,3))</f>
        <v>35 to 59</v>
      </c>
      <c r="G5" s="1"/>
      <c r="H5" s="9" t="s">
        <v>15</v>
      </c>
      <c r="I5" s="13">
        <f ca="1"/>
        <v>0.3</v>
      </c>
      <c r="J5" s="14" t="str">
        <f ca="1">CONCATENATE(OFFSET(ProbR2,1,0)," to ",OFFSET(ProbR2,1,1))</f>
        <v>31 to 60</v>
      </c>
      <c r="K5" s="1"/>
      <c r="L5" s="9" t="s">
        <v>15</v>
      </c>
      <c r="M5" s="13">
        <f ca="1">OFFSET(ProbQ,2,1)</f>
        <v>0.6</v>
      </c>
      <c r="N5" s="14" t="str">
        <f ca="1">CONCATENATE(OFFSET(ProbQ,2,2)," to ",OFFSET(ProbQ,2,3))</f>
        <v>6 to 65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>
      <c r="A6" s="15" t="s">
        <v>16</v>
      </c>
      <c r="B6" s="15" t="s">
        <v>17</v>
      </c>
      <c r="C6" s="1"/>
      <c r="D6" s="9" t="s">
        <v>18</v>
      </c>
      <c r="E6" s="13">
        <f ca="1">OFFSET(ProbT,3,1)</f>
        <v>0.01</v>
      </c>
      <c r="F6" s="14" t="str">
        <f ca="1">CONCATENATE(OFFSET(ProbT,3,2)," to ",OFFSET(ProbT,3,3))</f>
        <v>60 to 60</v>
      </c>
      <c r="G6" s="1"/>
      <c r="H6" s="9" t="s">
        <v>19</v>
      </c>
      <c r="I6" s="13">
        <f ca="1"/>
        <v>0.25</v>
      </c>
      <c r="J6" s="14" t="str">
        <f ca="1">CONCATENATE(OFFSET(ProbR2,2,0)," to ",OFFSET(ProbR2,2,1))</f>
        <v>61 to 85</v>
      </c>
      <c r="K6" s="1"/>
      <c r="L6" s="9" t="s">
        <v>20</v>
      </c>
      <c r="M6" s="13">
        <f ca="1">OFFSET(ProbQ,3,1)</f>
        <v>0.25</v>
      </c>
      <c r="N6" s="14" t="str">
        <f ca="1">CONCATENATE(OFFSET(ProbQ,3,2)," to ",OFFSET(ProbQ,3,3))</f>
        <v>66 to 90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>
      <c r="A7" s="218" t="s">
        <v>21</v>
      </c>
      <c r="B7" s="219"/>
      <c r="C7" s="1"/>
      <c r="D7" s="9" t="s">
        <v>22</v>
      </c>
      <c r="E7" s="13">
        <f ca="1">OFFSET(ProbT,4,1)</f>
        <v>0.25</v>
      </c>
      <c r="F7" s="14" t="str">
        <f ca="1">CONCATENATE(OFFSET(ProbT,4,2)," to ",OFFSET(ProbT,4,3))</f>
        <v>61 to 85</v>
      </c>
      <c r="G7" s="1"/>
      <c r="H7" s="9" t="s">
        <v>23</v>
      </c>
      <c r="I7" s="13">
        <f ca="1"/>
        <v>0.1</v>
      </c>
      <c r="J7" s="14" t="str">
        <f ca="1">CONCATENATE(OFFSET(ProbR2,3,0)," to ",OFFSET(ProbR2,3,1))</f>
        <v>86 to 95</v>
      </c>
      <c r="K7" s="1"/>
      <c r="L7" s="16" t="s">
        <v>24</v>
      </c>
      <c r="M7" s="17">
        <f ca="1">OFFSET(ProbQ,4,1)</f>
        <v>0.1</v>
      </c>
      <c r="N7" s="18" t="str">
        <f ca="1">CONCATENATE(OFFSET(ProbQ,4,2)," to ",OFFSET(ProbQ,4,3))</f>
        <v>91 to 100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>
      <c r="A8" s="19" t="s">
        <v>25</v>
      </c>
      <c r="B8" s="20">
        <f ca="1">Settings!B56</f>
        <v>20</v>
      </c>
      <c r="C8" s="1"/>
      <c r="D8" s="9" t="s">
        <v>26</v>
      </c>
      <c r="E8" s="13">
        <f ca="1">OFFSET(ProbT,5,1)</f>
        <v>0.1</v>
      </c>
      <c r="F8" s="14" t="str">
        <f ca="1">CONCATENATE(OFFSET(ProbT,5,2)," to ",OFFSET(ProbT,5,3))</f>
        <v>86 to 95</v>
      </c>
      <c r="G8" s="1"/>
      <c r="H8" s="9" t="s">
        <v>27</v>
      </c>
      <c r="I8" s="13">
        <f ca="1"/>
        <v>0.04</v>
      </c>
      <c r="J8" s="14" t="str">
        <f ca="1">CONCATENATE(OFFSET(ProbR2,4,0)," to ",OFFSET(ProbR2,4,1))</f>
        <v>96 to 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>
      <c r="A9" s="21" t="s">
        <v>28</v>
      </c>
      <c r="B9" s="22" t="str">
        <f ca="1">CONCATENATE(ROUND(SUMPRODUCT(Settings!E222:E262,J12:J52),0)," Gold")</f>
        <v>4273 Gold</v>
      </c>
      <c r="C9" s="1"/>
      <c r="D9" s="16" t="s">
        <v>29</v>
      </c>
      <c r="E9" s="17">
        <f ca="1">OFFSET(ProbT,6,1)</f>
        <v>0.05</v>
      </c>
      <c r="F9" s="18" t="str">
        <f ca="1">CONCATENATE(OFFSET(ProbT,6,2)," to ",OFFSET(ProbT,6,3))</f>
        <v>96 to 100</v>
      </c>
      <c r="G9" s="1"/>
      <c r="H9" s="16" t="s">
        <v>30</v>
      </c>
      <c r="I9" s="17">
        <f ca="1"/>
        <v>0.01</v>
      </c>
      <c r="J9" s="18" t="str">
        <f ca="1">CONCATENATE(OFFSET(ProbR2,5,0)," to ",OFFSET(ProbR2,5,1))</f>
        <v>100 to 100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>
      <c r="A11" s="23" t="s">
        <v>31</v>
      </c>
      <c r="B11" s="213" t="s">
        <v>32</v>
      </c>
      <c r="C11" s="214"/>
      <c r="D11" s="214"/>
      <c r="E11" s="214"/>
      <c r="F11" s="214"/>
      <c r="G11" s="214"/>
      <c r="H11" s="215"/>
      <c r="I11" s="24" t="s">
        <v>33</v>
      </c>
      <c r="J11" s="25" t="s">
        <v>34</v>
      </c>
      <c r="K11" s="1"/>
      <c r="L11" s="210" t="s">
        <v>35</v>
      </c>
      <c r="M11" s="211"/>
      <c r="N11" s="212"/>
      <c r="P11" s="1"/>
      <c r="Q11" s="1"/>
      <c r="R11" s="1"/>
      <c r="S11" s="1"/>
      <c r="T11" s="1"/>
      <c r="U11" s="1"/>
      <c r="V11" s="1"/>
      <c r="W11" s="1"/>
    </row>
    <row r="12" spans="1:29" ht="15.75" customHeight="1">
      <c r="A12" s="26" t="str">
        <f t="array" aca="1" ref="A12:A52" ca="1">(YEAR(TODAY())-2000)&amp;MONTH(TODAY())&amp;DAY(TODAY())&amp;HOUR(NOW())&amp;MINUTE(NOW())&amp;SECOND(NOW())&amp;"-"&amp;(ROW(A12:A52)-11)</f>
        <v>2082491747-1</v>
      </c>
      <c r="B12" s="221" t="str">
        <f t="array" aca="1" ref="B12:B27" ca="1">Settings!C222:E262</f>
        <v>Splendid Copper Ring</v>
      </c>
      <c r="C12" s="222"/>
      <c r="D12" s="222"/>
      <c r="E12" s="222"/>
      <c r="F12" s="222"/>
      <c r="G12" s="222"/>
      <c r="H12" s="223"/>
      <c r="I12" s="29" t="str">
        <f t="array" aca="1" ref="I12:I27" ca="1">Settings!D222:D262</f>
        <v>1 Gold, 5 Silver</v>
      </c>
      <c r="J12" s="30">
        <f ca="1">IFERROR(__xludf.DUMMYFUNCTION("if(Isblank(I12),"""", if(I12&gt;1000,1,if(I12&lt;500,max(min(randbetween(0,1)+randbetween(0,1),2),1),if(regexmatch(B12,""Loose""),max(min(randbetween(1,3)+randbetween(0,3)-3,5),1),if(I12&lt;100,randbetween(1,3),max(min(randbetween(1,5)+randbetween(1,5)-5,5),1)))))"&amp;")"),1)</f>
        <v>1</v>
      </c>
      <c r="K12" s="1"/>
      <c r="L12" s="19" t="b">
        <v>0</v>
      </c>
      <c r="M12" s="216" t="s">
        <v>36</v>
      </c>
      <c r="N12" s="217"/>
      <c r="P12" s="1"/>
      <c r="Q12" s="1"/>
      <c r="R12" s="1"/>
      <c r="S12" s="1"/>
      <c r="T12" s="1"/>
      <c r="U12" s="1"/>
      <c r="V12" s="1"/>
      <c r="W12" s="1"/>
    </row>
    <row r="13" spans="1:29" ht="15.75" customHeight="1">
      <c r="A13" s="31" t="str">
        <f ca="1"/>
        <v>2082491747-2</v>
      </c>
      <c r="B13" s="207" t="str">
        <f ca="1"/>
        <v>Loose Garnet (Medium Superior Grade)</v>
      </c>
      <c r="C13" s="208"/>
      <c r="D13" s="208"/>
      <c r="E13" s="208"/>
      <c r="F13" s="208"/>
      <c r="G13" s="208"/>
      <c r="H13" s="209"/>
      <c r="I13" s="33" t="str">
        <f ca="1"/>
        <v>607 Gold</v>
      </c>
      <c r="J13" s="34">
        <f ca="1">IFERROR(__xludf.DUMMYFUNCTION("if(Isblank(I13),"""", if(I13&gt;1000,1,if(I13&lt;500,max(min(randbetween(0,1)+randbetween(0,1),2),1),if(regexmatch(B13,""Loose""),max(min(randbetween(1,3)+randbetween(0,3)-3,5),1),if(I13&lt;100,randbetween(1,3),max(min(randbetween(1,5)+randbetween(1,5)-5,5),1)))))"&amp;")"),1)</f>
        <v>1</v>
      </c>
      <c r="K13" s="1"/>
      <c r="L13" s="1"/>
      <c r="M13" s="1"/>
      <c r="N13" s="1"/>
      <c r="O13" s="35"/>
      <c r="P13" s="1"/>
      <c r="Q13" s="1"/>
      <c r="R13" s="1"/>
      <c r="S13" s="1"/>
      <c r="T13" s="1"/>
      <c r="U13" s="1"/>
      <c r="V13" s="1"/>
      <c r="W13" s="1"/>
    </row>
    <row r="14" spans="1:29" ht="15.75" customHeight="1">
      <c r="A14" s="31" t="str">
        <f ca="1"/>
        <v>2082491747-3</v>
      </c>
      <c r="B14" s="207" t="str">
        <f ca="1"/>
        <v>Loose Coral (Large Inferior Grade)</v>
      </c>
      <c r="C14" s="208"/>
      <c r="D14" s="208"/>
      <c r="E14" s="208"/>
      <c r="F14" s="208"/>
      <c r="G14" s="208"/>
      <c r="H14" s="209"/>
      <c r="I14" s="33" t="str">
        <f ca="1"/>
        <v>1 Gold, 9 Copper</v>
      </c>
      <c r="J14" s="34">
        <f ca="1">IFERROR(__xludf.DUMMYFUNCTION("if(Isblank(I14),"""", if(I14&gt;1000,1,if(I14&lt;500,max(min(randbetween(0,1)+randbetween(0,1),2),1),if(regexmatch(B14,""Loose""),max(min(randbetween(1,3)+randbetween(0,3)-3,5),1),if(I14&lt;100,randbetween(1,3),max(min(randbetween(1,5)+randbetween(1,5)-5,5),1)))))"&amp;")"),1)</f>
        <v>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9" ht="15.75" customHeight="1">
      <c r="A15" s="31" t="str">
        <f ca="1"/>
        <v>2082491747-4</v>
      </c>
      <c r="B15" s="207" t="str">
        <f ca="1"/>
        <v>Unexceptional Bronze Pendant</v>
      </c>
      <c r="C15" s="208"/>
      <c r="D15" s="208"/>
      <c r="E15" s="208"/>
      <c r="F15" s="208"/>
      <c r="G15" s="208"/>
      <c r="H15" s="209"/>
      <c r="I15" s="33" t="str">
        <f ca="1"/>
        <v>5 Silver</v>
      </c>
      <c r="J15" s="34">
        <f ca="1">IFERROR(__xludf.DUMMYFUNCTION("if(Isblank(I15),"""", if(I15&gt;1000,1,if(I15&lt;500,max(min(randbetween(0,1)+randbetween(0,1),2),1),if(regexmatch(B15,""Loose""),max(min(randbetween(1,3)+randbetween(0,3)-3,5),1),if(I15&lt;100,randbetween(1,3),max(min(randbetween(1,5)+randbetween(1,5)-5,5),1)))))"&amp;")"),1)</f>
        <v>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9" ht="15.75" customHeight="1">
      <c r="A16" s="31" t="str">
        <f ca="1"/>
        <v>2082491747-5</v>
      </c>
      <c r="B16" s="207" t="str">
        <f ca="1"/>
        <v>Loose Jet (Medium Standard Grade)</v>
      </c>
      <c r="C16" s="208"/>
      <c r="D16" s="208"/>
      <c r="E16" s="208"/>
      <c r="F16" s="208"/>
      <c r="G16" s="208"/>
      <c r="H16" s="209"/>
      <c r="I16" s="33" t="str">
        <f ca="1"/>
        <v>95 Gold</v>
      </c>
      <c r="J16" s="34">
        <f ca="1">IFERROR(__xludf.DUMMYFUNCTION("if(Isblank(I16),"""", if(I16&gt;1000,1,if(I16&lt;500,max(min(randbetween(0,1)+randbetween(0,1),2),1),if(regexmatch(B16,""Loose""),max(min(randbetween(1,3)+randbetween(0,3)-3,5),1),if(I16&lt;100,randbetween(1,3),max(min(randbetween(1,5)+randbetween(1,5)-5,5),1)))))"&amp;")"),1)</f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>
      <c r="A17" s="31" t="str">
        <f ca="1"/>
        <v>2082491747-6</v>
      </c>
      <c r="B17" s="207" t="str">
        <f ca="1"/>
        <v>Loose Emerald (Tiny Inferior Grade)</v>
      </c>
      <c r="C17" s="208"/>
      <c r="D17" s="208"/>
      <c r="E17" s="208"/>
      <c r="F17" s="208"/>
      <c r="G17" s="208"/>
      <c r="H17" s="209"/>
      <c r="I17" s="33" t="str">
        <f ca="1"/>
        <v>30 Gold, 7 Silver</v>
      </c>
      <c r="J17" s="34">
        <f ca="1">IFERROR(__xludf.DUMMYFUNCTION("if(Isblank(I17),"""", if(I17&gt;1000,1,if(I17&lt;500,max(min(randbetween(0,1)+randbetween(0,1),2),1),if(regexmatch(B17,""Loose""),max(min(randbetween(1,3)+randbetween(0,3)-3,5),1),if(I17&lt;100,randbetween(1,3),max(min(randbetween(1,5)+randbetween(1,5)-5,5),1)))))"&amp;")"),1)</f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>
      <c r="A18" s="31" t="str">
        <f ca="1"/>
        <v>2082491747-7</v>
      </c>
      <c r="B18" s="207" t="str">
        <f ca="1"/>
        <v>Unexceptional Silver Serving Spoon with 2 Empty Settings</v>
      </c>
      <c r="C18" s="208"/>
      <c r="D18" s="208"/>
      <c r="E18" s="208"/>
      <c r="F18" s="208"/>
      <c r="G18" s="208"/>
      <c r="H18" s="209"/>
      <c r="I18" s="33" t="str">
        <f ca="1"/>
        <v>813 Gold</v>
      </c>
      <c r="J18" s="34">
        <f ca="1">IFERROR(__xludf.DUMMYFUNCTION("if(Isblank(I18),"""", if(I18&gt;1000,1,if(I18&lt;500,max(min(randbetween(0,1)+randbetween(0,1),2),1),if(regexmatch(B18,""Loose""),max(min(randbetween(1,3)+randbetween(0,3)-3,5),1),if(I18&lt;100,randbetween(1,3),max(min(randbetween(1,5)+randbetween(1,5)-5,5),1)))))"&amp;")"),1)</f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>
      <c r="A19" s="31" t="str">
        <f ca="1"/>
        <v>2082491747-8</v>
      </c>
      <c r="B19" s="207" t="str">
        <f ca="1"/>
        <v>Fair Wood/Leather Pendant</v>
      </c>
      <c r="C19" s="208"/>
      <c r="D19" s="208"/>
      <c r="E19" s="208"/>
      <c r="F19" s="208"/>
      <c r="G19" s="208"/>
      <c r="H19" s="209"/>
      <c r="I19" s="33" t="str">
        <f ca="1"/>
        <v>1 Gold</v>
      </c>
      <c r="J19" s="34">
        <f ca="1">IFERROR(__xludf.DUMMYFUNCTION("if(Isblank(I19),"""", if(I19&gt;1000,1,if(I19&lt;500,max(min(randbetween(0,1)+randbetween(0,1),2),1),if(regexmatch(B19,""Loose""),max(min(randbetween(1,3)+randbetween(0,3)-3,5),1),if(I19&lt;100,randbetween(1,3),max(min(randbetween(1,5)+randbetween(1,5)-5,5),1)))))"&amp;")"),1)</f>
        <v>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>
      <c r="A20" s="31" t="str">
        <f ca="1"/>
        <v>2082491747-9</v>
      </c>
      <c r="B20" s="207" t="str">
        <f ca="1"/>
        <v>Loose Hematite (Large Standard Grade)</v>
      </c>
      <c r="C20" s="208"/>
      <c r="D20" s="208"/>
      <c r="E20" s="208"/>
      <c r="F20" s="208"/>
      <c r="G20" s="208"/>
      <c r="H20" s="209"/>
      <c r="I20" s="33" t="str">
        <f ca="1"/>
        <v>14 Gold, 1 Silver</v>
      </c>
      <c r="J20" s="34">
        <f ca="1">IFERROR(__xludf.DUMMYFUNCTION("if(Isblank(I20),"""", if(I20&gt;1000,1,if(I20&lt;500,max(min(randbetween(0,1)+randbetween(0,1),2),1),if(regexmatch(B20,""Loose""),max(min(randbetween(1,3)+randbetween(0,3)-3,5),1),if(I20&lt;100,randbetween(1,3),max(min(randbetween(1,5)+randbetween(1,5)-5,5),1)))))"&amp;")"),1)</f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>
      <c r="A21" s="31" t="str">
        <f ca="1"/>
        <v>2082491747-10</v>
      </c>
      <c r="B21" s="207" t="str">
        <f ca="1"/>
        <v>Loose Ruby (Large Raw)</v>
      </c>
      <c r="C21" s="208"/>
      <c r="D21" s="208"/>
      <c r="E21" s="208"/>
      <c r="F21" s="208"/>
      <c r="G21" s="208"/>
      <c r="H21" s="209"/>
      <c r="I21" s="33" t="str">
        <f ca="1"/>
        <v>332 Gold</v>
      </c>
      <c r="J21" s="34">
        <f ca="1">IFERROR(__xludf.DUMMYFUNCTION("if(Isblank(I21),"""", if(I21&gt;1000,1,if(I21&lt;500,max(min(randbetween(0,1)+randbetween(0,1),2),1),if(regexmatch(B21,""Loose""),max(min(randbetween(1,3)+randbetween(0,3)-3,5),1),if(I21&lt;100,randbetween(1,3),max(min(randbetween(1,5)+randbetween(1,5)-5,5),1)))))"&amp;")"),1)</f>
        <v>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>
      <c r="A22" s="31" t="str">
        <f ca="1"/>
        <v>2082491747-11</v>
      </c>
      <c r="B22" s="207" t="str">
        <f ca="1"/>
        <v>Loose Emerald (Medium Standard Grade)</v>
      </c>
      <c r="C22" s="208"/>
      <c r="D22" s="208"/>
      <c r="E22" s="208"/>
      <c r="F22" s="208"/>
      <c r="G22" s="208"/>
      <c r="H22" s="209"/>
      <c r="I22" s="33" t="str">
        <f ca="1"/>
        <v>8 Gold</v>
      </c>
      <c r="J22" s="34">
        <f ca="1">IFERROR(__xludf.DUMMYFUNCTION("if(Isblank(I22),"""", if(I22&gt;1000,1,if(I22&lt;500,max(min(randbetween(0,1)+randbetween(0,1),2),1),if(regexmatch(B22,""Loose""),max(min(randbetween(1,3)+randbetween(0,3)-3,5),1),if(I22&lt;100,randbetween(1,3),max(min(randbetween(1,5)+randbetween(1,5)-5,5),1)))))"&amp;")"),1)</f>
        <v>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>
      <c r="A23" s="31" t="str">
        <f ca="1"/>
        <v>2082491747-12</v>
      </c>
      <c r="B23" s="207" t="str">
        <f ca="1"/>
        <v>Ordinary Electrum Tankard</v>
      </c>
      <c r="C23" s="208"/>
      <c r="D23" s="208"/>
      <c r="E23" s="208"/>
      <c r="F23" s="208"/>
      <c r="G23" s="208"/>
      <c r="H23" s="209"/>
      <c r="I23" s="33" t="str">
        <f ca="1"/>
        <v>30 Gold, 7 Silver</v>
      </c>
      <c r="J23" s="34">
        <f ca="1">IFERROR(__xludf.DUMMYFUNCTION("if(Isblank(I23),"""", if(I23&gt;1000,1,if(I23&lt;500,max(min(randbetween(0,1)+randbetween(0,1),2),1),if(regexmatch(B23,""Loose""),max(min(randbetween(1,3)+randbetween(0,3)-3,5),1),if(I23&lt;100,randbetween(1,3),max(min(randbetween(1,5)+randbetween(1,5)-5,5),1)))))"&amp;")"),1)</f>
        <v>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>
      <c r="A24" s="31" t="str">
        <f ca="1"/>
        <v>2082491747-13</v>
      </c>
      <c r="B24" s="207" t="str">
        <f ca="1"/>
        <v>Extraordinary Gold Necklace, set with Opal (Huge Superior Grade)</v>
      </c>
      <c r="C24" s="208"/>
      <c r="D24" s="208"/>
      <c r="E24" s="208"/>
      <c r="F24" s="208"/>
      <c r="G24" s="208"/>
      <c r="H24" s="209"/>
      <c r="I24" s="33" t="str">
        <f ca="1"/>
        <v>2332 Gold</v>
      </c>
      <c r="J24" s="34">
        <f ca="1">IFERROR(__xludf.DUMMYFUNCTION("if(Isblank(I24),"""", if(I24&gt;1000,1,if(I24&lt;500,max(min(randbetween(0,1)+randbetween(0,1),2),1),if(regexmatch(B24,""Loose""),max(min(randbetween(1,3)+randbetween(0,3)-3,5),1),if(I24&lt;100,randbetween(1,3),max(min(randbetween(1,5)+randbetween(1,5)-5,5),1)))))"&amp;")"),1)</f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>
      <c r="A25" s="31" t="str">
        <f ca="1"/>
        <v>2082491747-14</v>
      </c>
      <c r="B25" s="207" t="str">
        <f ca="1"/>
        <v>Loose Turquoise (Medium Raw)</v>
      </c>
      <c r="C25" s="208"/>
      <c r="D25" s="208"/>
      <c r="E25" s="208"/>
      <c r="F25" s="208"/>
      <c r="G25" s="208"/>
      <c r="H25" s="209"/>
      <c r="I25" s="36" t="str">
        <f ca="1"/>
        <v>4 Silver, 8 Copper</v>
      </c>
      <c r="J25" s="34">
        <f ca="1">IFERROR(__xludf.DUMMYFUNCTION("if(Isblank(I25),"""", if(I25&gt;1000,1,if(I25&lt;500,max(min(randbetween(0,1)+randbetween(0,1),2),1),if(regexmatch(B25,""Loose""),max(min(randbetween(1,3)+randbetween(0,3)-3,5),1),if(I25&lt;100,randbetween(1,3),max(min(randbetween(1,5)+randbetween(1,5)-5,5),1)))))"&amp;")"),1)</f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>
      <c r="A26" s="31" t="str">
        <f ca="1"/>
        <v>2082491747-15</v>
      </c>
      <c r="B26" s="207" t="str">
        <f ca="1"/>
        <v>Splendid Bronze Tankard</v>
      </c>
      <c r="C26" s="208"/>
      <c r="D26" s="208"/>
      <c r="E26" s="208"/>
      <c r="F26" s="208"/>
      <c r="G26" s="208"/>
      <c r="H26" s="209"/>
      <c r="I26" s="36" t="str">
        <f ca="1"/>
        <v>2 Gold, 7 Silver, 3 Copper</v>
      </c>
      <c r="J26" s="34">
        <f ca="1">IFERROR(__xludf.DUMMYFUNCTION("if(Isblank(I26),"""", if(I26&gt;1000,1,if(I26&lt;500,max(min(randbetween(0,1)+randbetween(0,1),2),1),if(regexmatch(B26,""Loose""),max(min(randbetween(1,3)+randbetween(0,3)-3,5),1),if(I26&lt;100,randbetween(1,3),max(min(randbetween(1,5)+randbetween(1,5)-5,5),1)))))"&amp;")"),1)</f>
        <v>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>
      <c r="A27" s="31" t="str">
        <f ca="1"/>
        <v>2082491747-16</v>
      </c>
      <c r="B27" s="207" t="str">
        <f ca="1"/>
        <v>Loose Bloodstone (Medium Inferior Grade)</v>
      </c>
      <c r="C27" s="208"/>
      <c r="D27" s="208"/>
      <c r="E27" s="208"/>
      <c r="F27" s="208"/>
      <c r="G27" s="208"/>
      <c r="H27" s="209"/>
      <c r="I27" s="36" t="str">
        <f ca="1"/>
        <v>6 Silver, 2 Copper</v>
      </c>
      <c r="J27" s="34">
        <f ca="1">IFERROR(__xludf.DUMMYFUNCTION("if(Isblank(I27),"""", if(I27&gt;1000,1,if(I27&lt;500,max(min(randbetween(0,1)+randbetween(0,1),2),1),if(regexmatch(B27,""Loose""),max(min(randbetween(1,3)+randbetween(0,3)-3,5),1),if(I27&lt;100,randbetween(1,3),max(min(randbetween(1,5)+randbetween(1,5)-5,5),1)))))"&amp;")"),1)</f>
        <v>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>
      <c r="A28" s="31" t="str">
        <f ca="1"/>
        <v>2082491747-17</v>
      </c>
      <c r="B28" s="207"/>
      <c r="C28" s="208"/>
      <c r="D28" s="208"/>
      <c r="E28" s="208"/>
      <c r="F28" s="208"/>
      <c r="G28" s="208"/>
      <c r="H28" s="209"/>
      <c r="I28" s="36"/>
      <c r="J28" s="34" t="str">
        <f ca="1">IFERROR(__xludf.DUMMYFUNCTION("if(Isblank(I28),"""", if(I28&gt;1000,1,if(I28&lt;500,max(min(randbetween(0,1)+randbetween(0,1),2),1),if(regexmatch(B28,""Loose""),max(min(randbetween(1,3)+randbetween(0,3)-3,5),1),if(I28&lt;100,randbetween(1,3),max(min(randbetween(1,5)+randbetween(1,5)-5,5),1)))))"&amp;")"),"")</f>
        <v/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2.75">
      <c r="A29" s="31" t="str">
        <f ca="1"/>
        <v>2082491747-18</v>
      </c>
      <c r="B29" s="207"/>
      <c r="C29" s="208"/>
      <c r="D29" s="208"/>
      <c r="E29" s="208"/>
      <c r="F29" s="208"/>
      <c r="G29" s="208"/>
      <c r="H29" s="209"/>
      <c r="I29" s="36"/>
      <c r="J29" s="34" t="str">
        <f ca="1">IFERROR(__xludf.DUMMYFUNCTION("if(Isblank(I29),"""", if(I29&gt;1000,1,if(I29&lt;500,max(min(randbetween(0,1)+randbetween(0,1),2),1),if(regexmatch(B29,""Loose""),max(min(randbetween(1,3)+randbetween(0,3)-3,5),1),if(I29&lt;100,randbetween(1,3),max(min(randbetween(1,5)+randbetween(1,5)-5,5),1)))))"&amp;")"),"")</f>
        <v/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2.75">
      <c r="A30" s="31" t="str">
        <f ca="1"/>
        <v>2082491747-19</v>
      </c>
      <c r="B30" s="207"/>
      <c r="C30" s="208"/>
      <c r="D30" s="208"/>
      <c r="E30" s="208"/>
      <c r="F30" s="208"/>
      <c r="G30" s="208"/>
      <c r="H30" s="209"/>
      <c r="I30" s="36"/>
      <c r="J30" s="34" t="str">
        <f ca="1">IFERROR(__xludf.DUMMYFUNCTION("if(Isblank(I30),"""", if(I30&gt;1000,1,if(I30&lt;500,max(min(randbetween(0,1)+randbetween(0,1),2),1),if(regexmatch(B30,""Loose""),max(min(randbetween(1,3)+randbetween(0,3)-3,5),1),if(I30&lt;100,randbetween(1,3),max(min(randbetween(1,5)+randbetween(1,5)-5,5),1)))))"&amp;")"),"")</f>
        <v/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>
      <c r="A31" s="31" t="str">
        <f ca="1"/>
        <v>2082491747-20</v>
      </c>
      <c r="B31" s="207"/>
      <c r="C31" s="208"/>
      <c r="D31" s="208"/>
      <c r="E31" s="208"/>
      <c r="F31" s="208"/>
      <c r="G31" s="208"/>
      <c r="H31" s="209"/>
      <c r="I31" s="36"/>
      <c r="J31" s="34" t="str">
        <f ca="1">IFERROR(__xludf.DUMMYFUNCTION("if(Isblank(I31),"""", if(I31&gt;1000,1,if(I31&lt;500,max(min(randbetween(0,1)+randbetween(0,1),2),1),if(regexmatch(B31,""Loose""),max(min(randbetween(1,3)+randbetween(0,3)-3,5),1),if(I31&lt;100,randbetween(1,3),max(min(randbetween(1,5)+randbetween(1,5)-5,5),1)))))"&amp;")"),"")</f>
        <v/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75">
      <c r="A32" s="31" t="str">
        <f ca="1"/>
        <v>2082491747-21</v>
      </c>
      <c r="B32" s="207"/>
      <c r="C32" s="208"/>
      <c r="D32" s="208"/>
      <c r="E32" s="208"/>
      <c r="F32" s="208"/>
      <c r="G32" s="208"/>
      <c r="H32" s="209"/>
      <c r="I32" s="36"/>
      <c r="J32" s="34" t="str">
        <f ca="1">IFERROR(__xludf.DUMMYFUNCTION("if(Isblank(I32),"""", if(I32&gt;1000,1,if(I32&lt;500,max(min(randbetween(0,1)+randbetween(0,1),2),1),if(regexmatch(B32,""Loose""),max(min(randbetween(1,3)+randbetween(0,3)-3,5),1),if(I32&lt;100,randbetween(1,3),max(min(randbetween(1,5)+randbetween(1,5)-5,5),1)))))"&amp;")"),"")</f>
        <v/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75">
      <c r="A33" s="31" t="str">
        <f ca="1"/>
        <v>2082491747-22</v>
      </c>
      <c r="B33" s="207"/>
      <c r="C33" s="208"/>
      <c r="D33" s="208"/>
      <c r="E33" s="208"/>
      <c r="F33" s="208"/>
      <c r="G33" s="208"/>
      <c r="H33" s="209"/>
      <c r="I33" s="36"/>
      <c r="J33" s="34" t="str">
        <f ca="1">IFERROR(__xludf.DUMMYFUNCTION("if(Isblank(I33),"""", if(I33&gt;1000,1,if(I33&lt;500,max(min(randbetween(0,1)+randbetween(0,1),2),1),if(regexmatch(B33,""Loose""),max(min(randbetween(1,3)+randbetween(0,3)-3,5),1),if(I33&lt;100,randbetween(1,3),max(min(randbetween(1,5)+randbetween(1,5)-5,5),1)))))"&amp;")"),"")</f>
        <v/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>
      <c r="A34" s="31" t="str">
        <f ca="1"/>
        <v>2082491747-23</v>
      </c>
      <c r="B34" s="207"/>
      <c r="C34" s="208"/>
      <c r="D34" s="208"/>
      <c r="E34" s="208"/>
      <c r="F34" s="208"/>
      <c r="G34" s="208"/>
      <c r="H34" s="209"/>
      <c r="I34" s="36"/>
      <c r="J34" s="34" t="str">
        <f ca="1">IFERROR(__xludf.DUMMYFUNCTION("if(Isblank(I34),"""", if(I34&gt;1000,1,if(I34&lt;500,max(min(randbetween(0,1)+randbetween(0,1),2),1),if(regexmatch(B34,""Loose""),max(min(randbetween(1,3)+randbetween(0,3)-3,5),1),if(I34&lt;100,randbetween(1,3),max(min(randbetween(1,5)+randbetween(1,5)-5,5),1)))))"&amp;")"),"")</f>
        <v/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>
      <c r="A35" s="31" t="str">
        <f ca="1"/>
        <v>2082491747-24</v>
      </c>
      <c r="B35" s="207"/>
      <c r="C35" s="208"/>
      <c r="D35" s="208"/>
      <c r="E35" s="208"/>
      <c r="F35" s="208"/>
      <c r="G35" s="208"/>
      <c r="H35" s="209"/>
      <c r="I35" s="36"/>
      <c r="J35" s="34" t="str">
        <f ca="1">IFERROR(__xludf.DUMMYFUNCTION("if(Isblank(I35),"""", if(I35&gt;1000,1,if(I35&lt;500,max(min(randbetween(0,1)+randbetween(0,1),2),1),if(regexmatch(B35,""Loose""),max(min(randbetween(1,3)+randbetween(0,3)-3,5),1),if(I35&lt;100,randbetween(1,3),max(min(randbetween(1,5)+randbetween(1,5)-5,5),1)))))"&amp;")"),"")</f>
        <v/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>
      <c r="A36" s="31" t="str">
        <f ca="1"/>
        <v>2082491747-25</v>
      </c>
      <c r="B36" s="207"/>
      <c r="C36" s="208"/>
      <c r="D36" s="208"/>
      <c r="E36" s="208"/>
      <c r="F36" s="208"/>
      <c r="G36" s="208"/>
      <c r="H36" s="209"/>
      <c r="I36" s="36"/>
      <c r="J36" s="34" t="str">
        <f ca="1">IFERROR(__xludf.DUMMYFUNCTION("if(Isblank(I36),"""", if(I36&gt;1000,1,if(I36&lt;500,max(min(randbetween(0,1)+randbetween(0,1),2),1),if(regexmatch(B36,""Loose""),max(min(randbetween(1,3)+randbetween(0,3)-3,5),1),if(I36&lt;100,randbetween(1,3),max(min(randbetween(1,5)+randbetween(1,5)-5,5),1)))))"&amp;")"),"")</f>
        <v/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>
      <c r="A37" s="31" t="str">
        <f ca="1"/>
        <v>2082491747-26</v>
      </c>
      <c r="B37" s="207"/>
      <c r="C37" s="208"/>
      <c r="D37" s="208"/>
      <c r="E37" s="208"/>
      <c r="F37" s="208"/>
      <c r="G37" s="208"/>
      <c r="H37" s="209"/>
      <c r="I37" s="36"/>
      <c r="J37" s="34" t="str">
        <f ca="1">IFERROR(__xludf.DUMMYFUNCTION("if(Isblank(I37),"""", if(I37&gt;1000,1,if(I37&lt;500,max(min(randbetween(0,1)+randbetween(0,1),2),1),if(regexmatch(B37,""Loose""),max(min(randbetween(1,3)+randbetween(0,3)-3,5),1),if(I37&lt;100,randbetween(1,3),max(min(randbetween(1,5)+randbetween(1,5)-5,5),1)))))"&amp;")"),"")</f>
        <v/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>
      <c r="A38" s="31" t="str">
        <f ca="1"/>
        <v>2082491747-27</v>
      </c>
      <c r="B38" s="207"/>
      <c r="C38" s="208"/>
      <c r="D38" s="208"/>
      <c r="E38" s="208"/>
      <c r="F38" s="208"/>
      <c r="G38" s="208"/>
      <c r="H38" s="209"/>
      <c r="I38" s="36"/>
      <c r="J38" s="34" t="str">
        <f ca="1">IFERROR(__xludf.DUMMYFUNCTION("if(Isblank(I38),"""", if(I38&gt;1000,1,if(I38&lt;500,max(min(randbetween(0,1)+randbetween(0,1),2),1),if(regexmatch(B38,""Loose""),max(min(randbetween(1,3)+randbetween(0,3)-3,5),1),if(I38&lt;100,randbetween(1,3),max(min(randbetween(1,5)+randbetween(1,5)-5,5),1)))))"&amp;")"),"")</f>
        <v/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>
      <c r="A39" s="31" t="str">
        <f ca="1"/>
        <v>2082491747-28</v>
      </c>
      <c r="B39" s="207"/>
      <c r="C39" s="208"/>
      <c r="D39" s="208"/>
      <c r="E39" s="208"/>
      <c r="F39" s="208"/>
      <c r="G39" s="208"/>
      <c r="H39" s="209"/>
      <c r="I39" s="36"/>
      <c r="J39" s="34" t="str">
        <f ca="1">IFERROR(__xludf.DUMMYFUNCTION("if(Isblank(I39),"""", if(I39&gt;1000,1,if(I39&lt;500,max(min(randbetween(0,1)+randbetween(0,1),2),1),if(regexmatch(B39,""Loose""),max(min(randbetween(1,3)+randbetween(0,3)-3,5),1),if(I39&lt;100,randbetween(1,3),max(min(randbetween(1,5)+randbetween(1,5)-5,5),1)))))"&amp;")"),"")</f>
        <v/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>
      <c r="A40" s="31" t="str">
        <f ca="1"/>
        <v>2082491747-29</v>
      </c>
      <c r="B40" s="207"/>
      <c r="C40" s="208"/>
      <c r="D40" s="208"/>
      <c r="E40" s="208"/>
      <c r="F40" s="208"/>
      <c r="G40" s="208"/>
      <c r="H40" s="209"/>
      <c r="I40" s="36"/>
      <c r="J40" s="34" t="str">
        <f ca="1">IFERROR(__xludf.DUMMYFUNCTION("if(Isblank(I40),"""", if(I40&gt;1000,1,if(I40&lt;500,max(min(randbetween(0,1)+randbetween(0,1),2),1),if(regexmatch(B40,""Loose""),max(min(randbetween(1,3)+randbetween(0,3)-3,5),1),if(I40&lt;100,randbetween(1,3),max(min(randbetween(1,5)+randbetween(1,5)-5,5),1)))))"&amp;")"),"")</f>
        <v/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>
      <c r="A41" s="31" t="str">
        <f ca="1"/>
        <v>2082491747-30</v>
      </c>
      <c r="B41" s="207"/>
      <c r="C41" s="208"/>
      <c r="D41" s="208"/>
      <c r="E41" s="208"/>
      <c r="F41" s="208"/>
      <c r="G41" s="208"/>
      <c r="H41" s="209"/>
      <c r="I41" s="36"/>
      <c r="J41" s="34" t="str">
        <f ca="1">IFERROR(__xludf.DUMMYFUNCTION("if(Isblank(I41),"""", if(I41&gt;1000,1,if(I41&lt;500,max(min(randbetween(0,1)+randbetween(0,1),2),1),if(regexmatch(B41,""Loose""),max(min(randbetween(1,3)+randbetween(0,3)-3,5),1),if(I41&lt;100,randbetween(1,3),max(min(randbetween(1,5)+randbetween(1,5)-5,5),1)))))"&amp;")"),"")</f>
        <v/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>
      <c r="A42" s="31" t="str">
        <f ca="1"/>
        <v>2082491747-31</v>
      </c>
      <c r="B42" s="207"/>
      <c r="C42" s="208"/>
      <c r="D42" s="208"/>
      <c r="E42" s="208"/>
      <c r="F42" s="208"/>
      <c r="G42" s="208"/>
      <c r="H42" s="209"/>
      <c r="I42" s="36"/>
      <c r="J42" s="34" t="str">
        <f ca="1">IFERROR(__xludf.DUMMYFUNCTION("if(Isblank(I42),"""", if(I42&gt;1000,1,if(I42&lt;500,max(min(randbetween(0,1)+randbetween(0,1),2),1),if(regexmatch(B42,""Loose""),max(min(randbetween(1,3)+randbetween(0,3)-3,5),1),if(I42&lt;100,randbetween(1,3),max(min(randbetween(1,5)+randbetween(1,5)-5,5),1)))))"&amp;")"),"")</f>
        <v/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>
      <c r="A43" s="31" t="str">
        <f ca="1"/>
        <v>2082491747-32</v>
      </c>
      <c r="B43" s="207"/>
      <c r="C43" s="208"/>
      <c r="D43" s="208"/>
      <c r="E43" s="208"/>
      <c r="F43" s="208"/>
      <c r="G43" s="208"/>
      <c r="H43" s="209"/>
      <c r="I43" s="36"/>
      <c r="J43" s="34" t="str">
        <f ca="1">IFERROR(__xludf.DUMMYFUNCTION("if(Isblank(I43),"""", if(I43&gt;1000,1,if(I43&lt;500,max(min(randbetween(0,1)+randbetween(0,1),2),1),if(regexmatch(B43,""Loose""),max(min(randbetween(1,3)+randbetween(0,3)-3,5),1),if(I43&lt;100,randbetween(1,3),max(min(randbetween(1,5)+randbetween(1,5)-5,5),1)))))"&amp;")"),"")</f>
        <v/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>
      <c r="A44" s="31" t="str">
        <f ca="1"/>
        <v>2082491747-33</v>
      </c>
      <c r="B44" s="207"/>
      <c r="C44" s="208"/>
      <c r="D44" s="208"/>
      <c r="E44" s="208"/>
      <c r="F44" s="208"/>
      <c r="G44" s="208"/>
      <c r="H44" s="209"/>
      <c r="I44" s="36"/>
      <c r="J44" s="34" t="str">
        <f ca="1">IFERROR(__xludf.DUMMYFUNCTION("if(Isblank(I44),"""", if(I44&gt;1000,1,if(I44&lt;500,max(min(randbetween(0,1)+randbetween(0,1),2),1),if(regexmatch(B44,""Loose""),max(min(randbetween(1,3)+randbetween(0,3)-3,5),1),if(I44&lt;100,randbetween(1,3),max(min(randbetween(1,5)+randbetween(1,5)-5,5),1)))))"&amp;")"),"")</f>
        <v/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>
      <c r="A45" s="31" t="str">
        <f ca="1"/>
        <v>2082491747-34</v>
      </c>
      <c r="B45" s="207"/>
      <c r="C45" s="208"/>
      <c r="D45" s="208"/>
      <c r="E45" s="208"/>
      <c r="F45" s="208"/>
      <c r="G45" s="208"/>
      <c r="H45" s="209"/>
      <c r="I45" s="36"/>
      <c r="J45" s="34" t="str">
        <f ca="1">IFERROR(__xludf.DUMMYFUNCTION("if(Isblank(I45),"""", if(I45&gt;1000,1,if(I45&lt;500,max(min(randbetween(0,1)+randbetween(0,1),2),1),if(regexmatch(B45,""Loose""),max(min(randbetween(1,3)+randbetween(0,3)-3,5),1),if(I45&lt;100,randbetween(1,3),max(min(randbetween(1,5)+randbetween(1,5)-5,5),1)))))"&amp;")"),"")</f>
        <v/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>
      <c r="A46" s="31" t="str">
        <f ca="1"/>
        <v>2082491747-35</v>
      </c>
      <c r="B46" s="207"/>
      <c r="C46" s="208"/>
      <c r="D46" s="208"/>
      <c r="E46" s="208"/>
      <c r="F46" s="208"/>
      <c r="G46" s="208"/>
      <c r="H46" s="209"/>
      <c r="I46" s="36"/>
      <c r="J46" s="34" t="str">
        <f ca="1">IFERROR(__xludf.DUMMYFUNCTION("if(Isblank(I46),"""", if(I46&gt;1000,1,if(I46&lt;500,max(min(randbetween(0,1)+randbetween(0,1),2),1),if(regexmatch(B46,""Loose""),max(min(randbetween(1,3)+randbetween(0,3)-3,5),1),if(I46&lt;100,randbetween(1,3),max(min(randbetween(1,5)+randbetween(1,5)-5,5),1)))))"&amp;")"),"")</f>
        <v/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>
      <c r="A47" s="31" t="str">
        <f ca="1"/>
        <v>2082491747-36</v>
      </c>
      <c r="B47" s="207"/>
      <c r="C47" s="208"/>
      <c r="D47" s="208"/>
      <c r="E47" s="208"/>
      <c r="F47" s="208"/>
      <c r="G47" s="208"/>
      <c r="H47" s="209"/>
      <c r="I47" s="36"/>
      <c r="J47" s="34" t="str">
        <f ca="1">IFERROR(__xludf.DUMMYFUNCTION("if(Isblank(I47),"""", if(I47&gt;1000,1,if(I47&lt;500,max(min(randbetween(0,1)+randbetween(0,1),2),1),if(regexmatch(B47,""Loose""),max(min(randbetween(1,3)+randbetween(0,3)-3,5),1),if(I47&lt;100,randbetween(1,3),max(min(randbetween(1,5)+randbetween(1,5)-5,5),1)))))"&amp;")"),"")</f>
        <v/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>
      <c r="A48" s="31" t="str">
        <f ca="1"/>
        <v>2082491747-37</v>
      </c>
      <c r="B48" s="207"/>
      <c r="C48" s="208"/>
      <c r="D48" s="208"/>
      <c r="E48" s="208"/>
      <c r="F48" s="208"/>
      <c r="G48" s="208"/>
      <c r="H48" s="209"/>
      <c r="I48" s="36"/>
      <c r="J48" s="34" t="str">
        <f ca="1">IFERROR(__xludf.DUMMYFUNCTION("if(Isblank(I48),"""", if(I48&gt;1000,1,if(I48&lt;500,max(min(randbetween(0,1)+randbetween(0,1),2),1),if(regexmatch(B48,""Loose""),max(min(randbetween(1,3)+randbetween(0,3)-3,5),1),if(I48&lt;100,randbetween(1,3),max(min(randbetween(1,5)+randbetween(1,5)-5,5),1)))))"&amp;")"),"")</f>
        <v/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9" ht="12.75">
      <c r="A49" s="31" t="str">
        <f ca="1"/>
        <v>2082491747-38</v>
      </c>
      <c r="B49" s="207"/>
      <c r="C49" s="208"/>
      <c r="D49" s="208"/>
      <c r="E49" s="208"/>
      <c r="F49" s="208"/>
      <c r="G49" s="208"/>
      <c r="H49" s="209"/>
      <c r="I49" s="36"/>
      <c r="J49" s="34" t="str">
        <f ca="1">IFERROR(__xludf.DUMMYFUNCTION("if(Isblank(I49),"""", if(I49&gt;1000,1,if(I49&lt;500,max(min(randbetween(0,1)+randbetween(0,1),2),1),if(regexmatch(B49,""Loose""),max(min(randbetween(1,3)+randbetween(0,3)-3,5),1),if(I49&lt;100,randbetween(1,3),max(min(randbetween(1,5)+randbetween(1,5)-5,5),1)))))"&amp;")"),"")</f>
        <v/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9" ht="12.75">
      <c r="A50" s="31" t="str">
        <f ca="1"/>
        <v>2082491747-39</v>
      </c>
      <c r="B50" s="207"/>
      <c r="C50" s="208"/>
      <c r="D50" s="208"/>
      <c r="E50" s="208"/>
      <c r="F50" s="208"/>
      <c r="G50" s="208"/>
      <c r="H50" s="209"/>
      <c r="I50" s="36"/>
      <c r="J50" s="3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9" ht="12.75">
      <c r="A51" s="31" t="str">
        <f ca="1"/>
        <v>2082491747-40</v>
      </c>
      <c r="B51" s="207"/>
      <c r="C51" s="208"/>
      <c r="D51" s="208"/>
      <c r="E51" s="208"/>
      <c r="F51" s="208"/>
      <c r="G51" s="208"/>
      <c r="H51" s="209"/>
      <c r="I51" s="36"/>
      <c r="J51" s="34" t="str">
        <f ca="1">IFERROR(__xludf.DUMMYFUNCTION("if(Isblank(I51),"""", if(I51&gt;1000,1,if(I51&lt;500,max(min(randbetween(0,1)+randbetween(0,1),2),1),if(regexmatch(B51,""Loose""),max(min(randbetween(1,3)+randbetween(0,3)-3,5),1),if(I51&lt;100,randbetween(1,3),max(min(randbetween(1,5)+randbetween(1,5)-5,5),1)))))"&amp;")"),"")</f>
        <v/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9" ht="12.75">
      <c r="A52" s="37" t="str">
        <f ca="1"/>
        <v>2082491747-41</v>
      </c>
      <c r="B52" s="225"/>
      <c r="C52" s="226"/>
      <c r="D52" s="226"/>
      <c r="E52" s="226"/>
      <c r="F52" s="226"/>
      <c r="G52" s="226"/>
      <c r="H52" s="227"/>
      <c r="I52" s="40"/>
      <c r="J52" s="41" t="str">
        <f ca="1">IFERROR(__xludf.DUMMYFUNCTION("if(Isblank(I52),"""", if(I52&gt;1000,1,if(I52&lt;500,max(min(randbetween(0,1)+randbetween(0,1),2),1),if(regexmatch(B52,""Loose""),max(min(randbetween(1,3)+randbetween(0,3)-3,5),1),if(I52&lt;100,randbetween(1,3),max(min(randbetween(1,5)+randbetween(1,5)-5,5),1)))))"&amp;")"),"")</f>
        <v/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9" ht="12.75">
      <c r="A53" s="224"/>
      <c r="B53" s="208"/>
      <c r="C53" s="208"/>
      <c r="D53" s="208"/>
      <c r="E53" s="208"/>
      <c r="F53" s="20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>
      <c r="A54" s="224"/>
      <c r="B54" s="208"/>
      <c r="C54" s="208"/>
      <c r="D54" s="208"/>
      <c r="E54" s="208"/>
      <c r="F54" s="20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>
      <c r="A55" s="224"/>
      <c r="B55" s="208"/>
      <c r="C55" s="208"/>
      <c r="D55" s="208"/>
      <c r="E55" s="208"/>
      <c r="F55" s="20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>
      <c r="A56" s="224"/>
      <c r="B56" s="208"/>
      <c r="C56" s="208"/>
      <c r="D56" s="208"/>
      <c r="E56" s="208"/>
      <c r="F56" s="20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>
      <c r="A57" s="224"/>
      <c r="B57" s="208"/>
      <c r="C57" s="208"/>
      <c r="D57" s="208"/>
      <c r="E57" s="208"/>
      <c r="F57" s="20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>
      <c r="A58" s="224"/>
      <c r="B58" s="208"/>
      <c r="C58" s="208"/>
      <c r="D58" s="208"/>
      <c r="E58" s="208"/>
      <c r="F58" s="20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>
      <c r="A59" s="224"/>
      <c r="B59" s="208"/>
      <c r="C59" s="208"/>
      <c r="D59" s="208"/>
      <c r="E59" s="208"/>
      <c r="F59" s="20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>
      <c r="A60" s="224"/>
      <c r="B60" s="208"/>
      <c r="C60" s="208"/>
      <c r="D60" s="208"/>
      <c r="E60" s="208"/>
      <c r="F60" s="20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>
      <c r="A61" s="224"/>
      <c r="B61" s="208"/>
      <c r="C61" s="208"/>
      <c r="D61" s="208"/>
      <c r="E61" s="208"/>
      <c r="F61" s="20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>
      <c r="A62" s="224"/>
      <c r="B62" s="208"/>
      <c r="C62" s="208"/>
      <c r="D62" s="208"/>
      <c r="E62" s="208"/>
      <c r="F62" s="20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>
      <c r="A63" s="224"/>
      <c r="B63" s="208"/>
      <c r="C63" s="208"/>
      <c r="D63" s="208"/>
      <c r="E63" s="208"/>
      <c r="F63" s="20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>
      <c r="A64" s="224"/>
      <c r="B64" s="208"/>
      <c r="C64" s="208"/>
      <c r="D64" s="208"/>
      <c r="E64" s="208"/>
      <c r="F64" s="20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>
      <c r="A65" s="224"/>
      <c r="B65" s="208"/>
      <c r="C65" s="208"/>
      <c r="D65" s="208"/>
      <c r="E65" s="208"/>
      <c r="F65" s="20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>
      <c r="A66" s="224"/>
      <c r="B66" s="208"/>
      <c r="C66" s="208"/>
      <c r="D66" s="208"/>
      <c r="E66" s="208"/>
      <c r="F66" s="20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>
      <c r="A67" s="224"/>
      <c r="B67" s="208"/>
      <c r="C67" s="208"/>
      <c r="D67" s="208"/>
      <c r="E67" s="208"/>
      <c r="F67" s="20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>
      <c r="A68" s="224"/>
      <c r="B68" s="208"/>
      <c r="C68" s="208"/>
      <c r="D68" s="208"/>
      <c r="E68" s="208"/>
      <c r="F68" s="20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63">
    <mergeCell ref="B46:H46"/>
    <mergeCell ref="B47:H47"/>
    <mergeCell ref="B40:H40"/>
    <mergeCell ref="B42:H42"/>
    <mergeCell ref="B43:H43"/>
    <mergeCell ref="B44:H44"/>
    <mergeCell ref="B45:H45"/>
    <mergeCell ref="B41:H41"/>
    <mergeCell ref="A66:F66"/>
    <mergeCell ref="A65:F65"/>
    <mergeCell ref="A67:F67"/>
    <mergeCell ref="A68:F68"/>
    <mergeCell ref="A56:F56"/>
    <mergeCell ref="A57:F57"/>
    <mergeCell ref="A62:F62"/>
    <mergeCell ref="A63:F63"/>
    <mergeCell ref="A64:F64"/>
    <mergeCell ref="B51:H51"/>
    <mergeCell ref="B50:H50"/>
    <mergeCell ref="A53:F53"/>
    <mergeCell ref="B52:H52"/>
    <mergeCell ref="B48:H48"/>
    <mergeCell ref="B49:H49"/>
    <mergeCell ref="A58:F58"/>
    <mergeCell ref="A59:F59"/>
    <mergeCell ref="A60:F60"/>
    <mergeCell ref="A61:F61"/>
    <mergeCell ref="A54:F54"/>
    <mergeCell ref="A55:F55"/>
    <mergeCell ref="B31:H31"/>
    <mergeCell ref="B30:H30"/>
    <mergeCell ref="B39:H39"/>
    <mergeCell ref="B37:H37"/>
    <mergeCell ref="B38:H38"/>
    <mergeCell ref="B32:H32"/>
    <mergeCell ref="B33:H33"/>
    <mergeCell ref="B35:H35"/>
    <mergeCell ref="B36:H36"/>
    <mergeCell ref="B34:H34"/>
    <mergeCell ref="B27:H27"/>
    <mergeCell ref="B28:H28"/>
    <mergeCell ref="B29:H29"/>
    <mergeCell ref="B23:H23"/>
    <mergeCell ref="B24:H24"/>
    <mergeCell ref="B26:H26"/>
    <mergeCell ref="B25:H25"/>
    <mergeCell ref="A3:B3"/>
    <mergeCell ref="A7:B7"/>
    <mergeCell ref="B15:H15"/>
    <mergeCell ref="B16:H16"/>
    <mergeCell ref="A1:N1"/>
    <mergeCell ref="B12:H12"/>
    <mergeCell ref="B21:H21"/>
    <mergeCell ref="B22:H22"/>
    <mergeCell ref="B13:H13"/>
    <mergeCell ref="B14:H14"/>
    <mergeCell ref="L11:N11"/>
    <mergeCell ref="B11:H11"/>
    <mergeCell ref="B17:H17"/>
    <mergeCell ref="M12:N12"/>
    <mergeCell ref="B19:H19"/>
    <mergeCell ref="B18:H18"/>
    <mergeCell ref="B20:H20"/>
  </mergeCells>
  <dataValidations count="3">
    <dataValidation type="list" allowBlank="1" sqref="B6" xr:uid="{00000000-0002-0000-0000-000000000000}">
      <formula1>InvSize</formula1>
    </dataValidation>
    <dataValidation type="list" allowBlank="1" sqref="B4" xr:uid="{00000000-0002-0000-0000-000001000000}">
      <formula1>MerchType</formula1>
    </dataValidation>
    <dataValidation type="list" allowBlank="1" sqref="B5" xr:uid="{00000000-0002-0000-0000-000002000000}">
      <formula1>Wealth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T263"/>
  <sheetViews>
    <sheetView topLeftCell="A231" workbookViewId="0">
      <selection activeCell="A255" sqref="A255"/>
    </sheetView>
  </sheetViews>
  <sheetFormatPr defaultColWidth="14.42578125" defaultRowHeight="15.75" customHeight="1"/>
  <cols>
    <col min="1" max="1" width="16.7109375" customWidth="1"/>
    <col min="2" max="2" width="13.85546875" customWidth="1"/>
    <col min="3" max="3" width="13" customWidth="1"/>
    <col min="4" max="4" width="26.42578125" customWidth="1"/>
    <col min="5" max="5" width="10.7109375" customWidth="1"/>
    <col min="6" max="6" width="10.28515625" customWidth="1"/>
    <col min="7" max="7" width="14.85546875" customWidth="1"/>
    <col min="8" max="8" width="16.7109375" customWidth="1"/>
    <col min="9" max="9" width="13.85546875" customWidth="1"/>
    <col min="10" max="10" width="15.28515625" customWidth="1"/>
    <col min="11" max="11" width="13.85546875" customWidth="1"/>
    <col min="12" max="12" width="18.28515625" customWidth="1"/>
    <col min="13" max="13" width="18.140625" customWidth="1"/>
    <col min="14" max="14" width="18.28515625" customWidth="1"/>
    <col min="15" max="15" width="12.85546875" customWidth="1"/>
    <col min="16" max="16" width="16.42578125" customWidth="1"/>
    <col min="17" max="17" width="13.7109375" customWidth="1"/>
    <col min="18" max="18" width="16.5703125" customWidth="1"/>
    <col min="19" max="19" width="18.42578125" customWidth="1"/>
    <col min="20" max="20" width="14.28515625" customWidth="1"/>
    <col min="21" max="22" width="11.28515625" customWidth="1"/>
    <col min="23" max="23" width="99.140625" customWidth="1"/>
    <col min="24" max="24" width="13" customWidth="1"/>
    <col min="25" max="25" width="11.7109375" customWidth="1"/>
    <col min="29" max="29" width="21.42578125" customWidth="1"/>
    <col min="44" max="44" width="20.140625" customWidth="1"/>
    <col min="45" max="45" width="16.140625" customWidth="1"/>
    <col min="54" max="54" width="20.140625" customWidth="1"/>
  </cols>
  <sheetData>
    <row r="1" spans="1:72" ht="15.75" customHeight="1">
      <c r="B1" s="42"/>
      <c r="C1" s="42"/>
      <c r="D1" s="42"/>
      <c r="E1" s="42"/>
      <c r="F1" s="42"/>
      <c r="G1" s="42"/>
      <c r="H1" s="42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V1" s="44"/>
      <c r="W1" s="44"/>
      <c r="X1" s="44"/>
      <c r="Y1" s="44"/>
      <c r="Z1" s="44"/>
      <c r="AA1" s="44"/>
      <c r="AC1" s="44"/>
      <c r="AD1" s="44"/>
      <c r="AE1" s="45"/>
      <c r="AG1" s="43"/>
      <c r="AM1" s="43"/>
      <c r="AN1" s="43"/>
      <c r="AX1" s="43"/>
      <c r="BI1" s="43"/>
    </row>
    <row r="2" spans="1:72" ht="15.75" customHeight="1">
      <c r="B2" s="42"/>
      <c r="C2" s="42"/>
      <c r="D2" s="42"/>
      <c r="E2" s="42"/>
      <c r="F2" s="42"/>
      <c r="G2" s="42"/>
      <c r="H2" s="42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V2" s="44"/>
      <c r="W2" s="44"/>
      <c r="X2" s="44"/>
      <c r="Y2" s="44"/>
      <c r="Z2" s="44"/>
      <c r="AA2" s="44"/>
      <c r="AB2" s="44"/>
      <c r="AC2" s="44"/>
      <c r="AD2" s="44"/>
      <c r="AE2" s="44"/>
      <c r="AG2" s="43"/>
      <c r="AM2" s="43"/>
      <c r="AN2" s="43"/>
      <c r="AX2" s="43"/>
      <c r="BI2" s="43"/>
    </row>
    <row r="3" spans="1:72" ht="15.75" customHeight="1" thickTop="1" thickBot="1">
      <c r="A3" s="46"/>
      <c r="B3" s="229" t="s">
        <v>37</v>
      </c>
      <c r="C3" s="214"/>
      <c r="D3" s="214"/>
      <c r="E3" s="214"/>
      <c r="F3" s="214"/>
      <c r="G3" s="214"/>
      <c r="H3" s="215"/>
      <c r="I3" s="228" t="s">
        <v>38</v>
      </c>
      <c r="J3" s="214"/>
      <c r="K3" s="214"/>
      <c r="L3" s="214"/>
      <c r="M3" s="214"/>
      <c r="N3" s="214"/>
      <c r="O3" s="215"/>
      <c r="P3" s="228" t="s">
        <v>6</v>
      </c>
      <c r="Q3" s="214"/>
      <c r="R3" s="214"/>
      <c r="S3" s="214"/>
      <c r="T3" s="215"/>
      <c r="AG3" s="43" t="s">
        <v>39</v>
      </c>
      <c r="AM3" s="43"/>
      <c r="AN3" s="43" t="s">
        <v>40</v>
      </c>
      <c r="AX3" s="43" t="s">
        <v>41</v>
      </c>
      <c r="BI3" s="43" t="s">
        <v>42</v>
      </c>
    </row>
    <row r="4" spans="1:72" ht="15.75" customHeight="1" thickTop="1" thickBot="1">
      <c r="A4" s="233" t="s">
        <v>43</v>
      </c>
      <c r="B4" s="233" t="s">
        <v>9</v>
      </c>
      <c r="C4" s="233" t="s">
        <v>44</v>
      </c>
      <c r="D4" s="233" t="s">
        <v>45</v>
      </c>
      <c r="E4" s="233" t="s">
        <v>46</v>
      </c>
      <c r="F4" s="233" t="s">
        <v>47</v>
      </c>
      <c r="G4" s="233" t="s">
        <v>48</v>
      </c>
      <c r="H4" s="233" t="s">
        <v>49</v>
      </c>
      <c r="I4" s="233" t="s">
        <v>50</v>
      </c>
      <c r="J4" s="233" t="s">
        <v>15</v>
      </c>
      <c r="K4" s="233" t="s">
        <v>19</v>
      </c>
      <c r="L4" s="233" t="s">
        <v>23</v>
      </c>
      <c r="M4" s="233" t="s">
        <v>51</v>
      </c>
      <c r="N4" s="233" t="s">
        <v>52</v>
      </c>
      <c r="O4" s="233" t="s">
        <v>49</v>
      </c>
      <c r="P4" s="233" t="s">
        <v>11</v>
      </c>
      <c r="Q4" s="233" t="s">
        <v>15</v>
      </c>
      <c r="R4" s="233" t="s">
        <v>20</v>
      </c>
      <c r="S4" s="233" t="s">
        <v>53</v>
      </c>
      <c r="T4" s="233" t="s">
        <v>49</v>
      </c>
    </row>
    <row r="5" spans="1:72" ht="15.75" customHeight="1" thickTop="1" thickBot="1">
      <c r="A5" s="233" t="s">
        <v>54</v>
      </c>
      <c r="B5" s="48">
        <v>0.3</v>
      </c>
      <c r="C5" s="49">
        <v>0.2</v>
      </c>
      <c r="D5" s="49">
        <v>0.2</v>
      </c>
      <c r="E5" s="49">
        <v>0.25</v>
      </c>
      <c r="F5" s="49">
        <v>0.03</v>
      </c>
      <c r="G5" s="49">
        <v>0.02</v>
      </c>
      <c r="H5" s="50">
        <f t="shared" ref="H5:H11" si="0">SUM(B5:G5)</f>
        <v>1</v>
      </c>
      <c r="I5" s="48">
        <v>0.55000000000000004</v>
      </c>
      <c r="J5" s="49">
        <v>0.25</v>
      </c>
      <c r="K5" s="49">
        <v>0.1</v>
      </c>
      <c r="L5" s="49">
        <v>0.06</v>
      </c>
      <c r="M5" s="49">
        <v>0.03</v>
      </c>
      <c r="N5" s="49">
        <v>0.01</v>
      </c>
      <c r="O5" s="50">
        <f t="shared" ref="O5:O11" si="1">SUM(I5:N5)</f>
        <v>1</v>
      </c>
      <c r="P5" s="51">
        <v>0.3</v>
      </c>
      <c r="Q5" s="51">
        <v>0.6</v>
      </c>
      <c r="R5" s="49">
        <v>0.05</v>
      </c>
      <c r="S5" s="49">
        <v>0.05</v>
      </c>
      <c r="T5" s="52">
        <f t="shared" ref="T5:T11" si="2">SUM(P5:S5)</f>
        <v>1</v>
      </c>
      <c r="AG5" s="43" t="s">
        <v>55</v>
      </c>
      <c r="AH5" s="43" t="s">
        <v>56</v>
      </c>
      <c r="AI5" s="43" t="s">
        <v>57</v>
      </c>
      <c r="AJ5" s="43" t="s">
        <v>32</v>
      </c>
      <c r="AK5" s="43" t="s">
        <v>58</v>
      </c>
      <c r="AL5" s="43" t="s">
        <v>33</v>
      </c>
      <c r="AM5" s="43"/>
      <c r="AN5" s="43" t="s">
        <v>55</v>
      </c>
      <c r="AO5" s="43" t="s">
        <v>56</v>
      </c>
      <c r="AP5" s="43" t="s">
        <v>57</v>
      </c>
      <c r="AQ5" s="43" t="s">
        <v>59</v>
      </c>
      <c r="AR5" s="43" t="s">
        <v>60</v>
      </c>
      <c r="AS5" s="43" t="s">
        <v>61</v>
      </c>
      <c r="AT5" s="43" t="s">
        <v>32</v>
      </c>
      <c r="AU5" s="43" t="s">
        <v>58</v>
      </c>
      <c r="AV5" s="43" t="s">
        <v>33</v>
      </c>
      <c r="AX5" s="43" t="s">
        <v>55</v>
      </c>
      <c r="AY5" s="43" t="s">
        <v>56</v>
      </c>
      <c r="AZ5" s="43" t="s">
        <v>57</v>
      </c>
      <c r="BA5" s="43" t="s">
        <v>59</v>
      </c>
      <c r="BB5" s="43" t="s">
        <v>62</v>
      </c>
      <c r="BC5" s="43" t="s">
        <v>63</v>
      </c>
      <c r="BD5" s="43" t="s">
        <v>64</v>
      </c>
      <c r="BE5" s="43" t="s">
        <v>32</v>
      </c>
      <c r="BF5" s="43" t="s">
        <v>58</v>
      </c>
      <c r="BG5" s="43" t="s">
        <v>33</v>
      </c>
      <c r="BH5" s="43"/>
      <c r="BI5" s="43" t="s">
        <v>55</v>
      </c>
      <c r="BJ5" s="43" t="s">
        <v>56</v>
      </c>
      <c r="BK5" s="43" t="s">
        <v>57</v>
      </c>
      <c r="BL5" s="43" t="s">
        <v>59</v>
      </c>
      <c r="BM5" s="43" t="s">
        <v>62</v>
      </c>
      <c r="BN5" s="43" t="s">
        <v>63</v>
      </c>
      <c r="BO5" s="43" t="s">
        <v>64</v>
      </c>
      <c r="BP5" s="43" t="s">
        <v>65</v>
      </c>
      <c r="BQ5" s="43" t="s">
        <v>66</v>
      </c>
      <c r="BR5" s="43" t="s">
        <v>32</v>
      </c>
      <c r="BS5" s="43" t="s">
        <v>58</v>
      </c>
      <c r="BT5" s="43" t="s">
        <v>33</v>
      </c>
    </row>
    <row r="6" spans="1:72" ht="15.75" customHeight="1" thickTop="1" thickBot="1">
      <c r="A6" s="233" t="s">
        <v>67</v>
      </c>
      <c r="B6" s="48">
        <v>0.3</v>
      </c>
      <c r="C6" s="49">
        <v>0.3</v>
      </c>
      <c r="D6" s="49">
        <v>0.05</v>
      </c>
      <c r="E6" s="49">
        <v>0.3</v>
      </c>
      <c r="F6" s="49">
        <v>0.03</v>
      </c>
      <c r="G6" s="49">
        <v>0.02</v>
      </c>
      <c r="H6" s="50">
        <f t="shared" si="0"/>
        <v>1</v>
      </c>
      <c r="I6" s="48">
        <v>0.45</v>
      </c>
      <c r="J6" s="49">
        <v>0.3</v>
      </c>
      <c r="K6" s="49">
        <v>0.15</v>
      </c>
      <c r="L6" s="49">
        <v>0.06</v>
      </c>
      <c r="M6" s="49">
        <v>0.03</v>
      </c>
      <c r="N6" s="49">
        <v>0.01</v>
      </c>
      <c r="O6" s="50">
        <f t="shared" si="1"/>
        <v>1</v>
      </c>
      <c r="P6" s="51">
        <v>0.2</v>
      </c>
      <c r="Q6" s="51">
        <v>0.6</v>
      </c>
      <c r="R6" s="49">
        <v>0.15</v>
      </c>
      <c r="S6" s="49">
        <v>0.05</v>
      </c>
      <c r="T6" s="52">
        <f t="shared" si="2"/>
        <v>1</v>
      </c>
    </row>
    <row r="7" spans="1:72" ht="15.75" customHeight="1" thickTop="1" thickBot="1">
      <c r="A7" s="233" t="s">
        <v>68</v>
      </c>
      <c r="B7" s="48">
        <v>0.25</v>
      </c>
      <c r="C7" s="49">
        <v>0.2</v>
      </c>
      <c r="D7" s="49">
        <v>0.24</v>
      </c>
      <c r="E7" s="49">
        <v>0.25</v>
      </c>
      <c r="F7" s="49">
        <v>0.05</v>
      </c>
      <c r="G7" s="49">
        <v>0.01</v>
      </c>
      <c r="H7" s="50">
        <f t="shared" si="0"/>
        <v>1</v>
      </c>
      <c r="I7" s="48">
        <v>0.3</v>
      </c>
      <c r="J7" s="49">
        <v>0.3</v>
      </c>
      <c r="K7" s="49">
        <v>0.25</v>
      </c>
      <c r="L7" s="49">
        <v>0.1</v>
      </c>
      <c r="M7" s="49">
        <v>0.04</v>
      </c>
      <c r="N7" s="49">
        <v>0.01</v>
      </c>
      <c r="O7" s="50">
        <f t="shared" si="1"/>
        <v>1</v>
      </c>
      <c r="P7" s="51">
        <v>0.1</v>
      </c>
      <c r="Q7" s="51">
        <v>0.6</v>
      </c>
      <c r="R7" s="49">
        <v>0.2</v>
      </c>
      <c r="S7" s="49">
        <v>0.1</v>
      </c>
      <c r="T7" s="52">
        <f t="shared" si="2"/>
        <v>0.99999999999999989</v>
      </c>
    </row>
    <row r="8" spans="1:72" ht="15.75" customHeight="1" thickTop="1" thickBot="1">
      <c r="A8" s="233" t="s">
        <v>8</v>
      </c>
      <c r="B8" s="48">
        <v>0.34</v>
      </c>
      <c r="C8" s="49">
        <v>0.25</v>
      </c>
      <c r="D8" s="49">
        <v>0.01</v>
      </c>
      <c r="E8" s="49">
        <v>0.25</v>
      </c>
      <c r="F8" s="49">
        <v>0.1</v>
      </c>
      <c r="G8" s="49">
        <v>0.05</v>
      </c>
      <c r="H8" s="50">
        <f t="shared" si="0"/>
        <v>1</v>
      </c>
      <c r="I8" s="48">
        <v>0.3</v>
      </c>
      <c r="J8" s="49">
        <v>0.3</v>
      </c>
      <c r="K8" s="49">
        <v>0.25</v>
      </c>
      <c r="L8" s="49">
        <v>0.1</v>
      </c>
      <c r="M8" s="49">
        <v>0.04</v>
      </c>
      <c r="N8" s="49">
        <v>0.01</v>
      </c>
      <c r="O8" s="50">
        <f t="shared" si="1"/>
        <v>1</v>
      </c>
      <c r="P8" s="51">
        <v>0.05</v>
      </c>
      <c r="Q8" s="51">
        <v>0.6</v>
      </c>
      <c r="R8" s="49">
        <v>0.25</v>
      </c>
      <c r="S8" s="49">
        <v>0.1</v>
      </c>
      <c r="T8" s="52">
        <f t="shared" si="2"/>
        <v>1</v>
      </c>
    </row>
    <row r="9" spans="1:72" ht="15.75" customHeight="1" thickTop="1" thickBot="1">
      <c r="A9" s="233" t="s">
        <v>69</v>
      </c>
      <c r="B9" s="48">
        <v>0.49</v>
      </c>
      <c r="C9" s="49">
        <v>0.3</v>
      </c>
      <c r="D9" s="49">
        <v>0.01</v>
      </c>
      <c r="E9" s="49">
        <v>0.1</v>
      </c>
      <c r="F9" s="49">
        <v>0.05</v>
      </c>
      <c r="G9" s="49">
        <v>0.05</v>
      </c>
      <c r="H9" s="50">
        <f t="shared" si="0"/>
        <v>1</v>
      </c>
      <c r="I9" s="48">
        <v>0.28000000000000003</v>
      </c>
      <c r="J9" s="49">
        <v>0.25</v>
      </c>
      <c r="K9" s="49">
        <v>0.25</v>
      </c>
      <c r="L9" s="49">
        <v>0.15</v>
      </c>
      <c r="M9" s="49">
        <v>0.05</v>
      </c>
      <c r="N9" s="49">
        <v>0.02</v>
      </c>
      <c r="O9" s="50">
        <f t="shared" si="1"/>
        <v>1</v>
      </c>
      <c r="P9" s="51">
        <v>0.05</v>
      </c>
      <c r="Q9" s="51">
        <v>0.5</v>
      </c>
      <c r="R9" s="49">
        <v>0.3</v>
      </c>
      <c r="S9" s="49">
        <v>0.15</v>
      </c>
      <c r="T9" s="52">
        <f t="shared" si="2"/>
        <v>1</v>
      </c>
    </row>
    <row r="10" spans="1:72" ht="15.75" customHeight="1" thickTop="1" thickBot="1">
      <c r="A10" s="233" t="s">
        <v>70</v>
      </c>
      <c r="B10" s="48">
        <v>0.09</v>
      </c>
      <c r="C10" s="49">
        <v>0.2</v>
      </c>
      <c r="D10" s="49">
        <v>0.01</v>
      </c>
      <c r="E10" s="49">
        <v>0.4</v>
      </c>
      <c r="F10" s="49">
        <v>0.2</v>
      </c>
      <c r="G10" s="49">
        <v>0.1</v>
      </c>
      <c r="H10" s="50">
        <f t="shared" si="0"/>
        <v>1.0000000000000002</v>
      </c>
      <c r="I10" s="48">
        <v>0.15</v>
      </c>
      <c r="J10" s="49">
        <v>0.2</v>
      </c>
      <c r="K10" s="49">
        <v>0.34</v>
      </c>
      <c r="L10" s="49">
        <v>0.2</v>
      </c>
      <c r="M10" s="49">
        <v>0.08</v>
      </c>
      <c r="N10" s="49">
        <v>0.03</v>
      </c>
      <c r="O10" s="50">
        <f t="shared" si="1"/>
        <v>0.99999999999999989</v>
      </c>
      <c r="P10" s="51">
        <v>0</v>
      </c>
      <c r="Q10" s="51">
        <v>0.4</v>
      </c>
      <c r="R10" s="49">
        <v>0.4</v>
      </c>
      <c r="S10" s="49">
        <v>0.2</v>
      </c>
      <c r="T10" s="52">
        <f t="shared" si="2"/>
        <v>1</v>
      </c>
    </row>
    <row r="11" spans="1:72" ht="15.75" customHeight="1" thickTop="1" thickBot="1">
      <c r="A11" s="233" t="s">
        <v>71</v>
      </c>
      <c r="B11" s="53">
        <v>0.04</v>
      </c>
      <c r="C11" s="54">
        <v>0.1</v>
      </c>
      <c r="D11" s="54">
        <v>0.01</v>
      </c>
      <c r="E11" s="54">
        <v>0.4</v>
      </c>
      <c r="F11" s="54">
        <v>0.3</v>
      </c>
      <c r="G11" s="54">
        <v>0.15</v>
      </c>
      <c r="H11" s="55">
        <f t="shared" si="0"/>
        <v>1</v>
      </c>
      <c r="I11" s="53">
        <v>0.1</v>
      </c>
      <c r="J11" s="54">
        <v>0.15</v>
      </c>
      <c r="K11" s="54">
        <v>0.35</v>
      </c>
      <c r="L11" s="54">
        <v>0.25</v>
      </c>
      <c r="M11" s="54">
        <v>0.1</v>
      </c>
      <c r="N11" s="54">
        <v>0.05</v>
      </c>
      <c r="O11" s="55">
        <f t="shared" si="1"/>
        <v>1</v>
      </c>
      <c r="P11" s="56">
        <v>0</v>
      </c>
      <c r="Q11" s="56">
        <v>0.1</v>
      </c>
      <c r="R11" s="54">
        <v>0.55000000000000004</v>
      </c>
      <c r="S11" s="54">
        <v>0.35</v>
      </c>
      <c r="T11" s="57">
        <f t="shared" si="2"/>
        <v>1</v>
      </c>
    </row>
    <row r="12" spans="1:72" ht="15.75" customHeight="1" thickTop="1" thickBot="1"/>
    <row r="13" spans="1:72" ht="15.75" customHeight="1" thickTop="1" thickBot="1">
      <c r="A13" s="233" t="s">
        <v>16</v>
      </c>
      <c r="B13" s="233" t="s">
        <v>72</v>
      </c>
      <c r="F13" s="233" t="s">
        <v>73</v>
      </c>
      <c r="G13" s="233" t="s">
        <v>74</v>
      </c>
      <c r="H13" s="233" t="s">
        <v>75</v>
      </c>
      <c r="I13" s="233" t="s">
        <v>76</v>
      </c>
      <c r="K13" s="228" t="s">
        <v>77</v>
      </c>
      <c r="L13" s="214"/>
      <c r="M13" s="215"/>
      <c r="O13" s="228" t="s">
        <v>78</v>
      </c>
      <c r="P13" s="214"/>
      <c r="Q13" s="214"/>
      <c r="R13" s="214"/>
      <c r="S13" s="214"/>
      <c r="T13" s="215"/>
    </row>
    <row r="14" spans="1:72" ht="15.75" customHeight="1" thickTop="1" thickBot="1">
      <c r="A14" s="233" t="s">
        <v>79</v>
      </c>
      <c r="B14" s="58">
        <v>5</v>
      </c>
      <c r="F14" s="233" t="s">
        <v>80</v>
      </c>
      <c r="G14" s="58">
        <v>0.1</v>
      </c>
      <c r="H14" s="58">
        <v>2</v>
      </c>
      <c r="I14" s="58">
        <v>2</v>
      </c>
      <c r="K14" s="59" t="s">
        <v>81</v>
      </c>
      <c r="L14" s="60" t="s">
        <v>82</v>
      </c>
      <c r="M14" s="60" t="s">
        <v>83</v>
      </c>
      <c r="O14" s="25" t="s">
        <v>81</v>
      </c>
      <c r="P14" s="61" t="s">
        <v>84</v>
      </c>
      <c r="Q14" s="60" t="s">
        <v>58</v>
      </c>
      <c r="R14" s="60" t="s">
        <v>76</v>
      </c>
      <c r="S14" s="25" t="s">
        <v>85</v>
      </c>
      <c r="T14" s="25" t="s">
        <v>86</v>
      </c>
    </row>
    <row r="15" spans="1:72" ht="15.75" customHeight="1" thickTop="1" thickBot="1">
      <c r="A15" s="233" t="s">
        <v>17</v>
      </c>
      <c r="B15" s="58">
        <v>15</v>
      </c>
      <c r="F15" s="233" t="s">
        <v>87</v>
      </c>
      <c r="G15" s="58">
        <v>0.25</v>
      </c>
      <c r="H15" s="58">
        <v>1.5</v>
      </c>
      <c r="I15" s="58">
        <v>2</v>
      </c>
      <c r="K15" s="62" t="s">
        <v>52</v>
      </c>
      <c r="L15" s="63">
        <f ca="1">IFERROR(__xludf.DUMMYFUNCTION("countunique(M15:M20)+L21"),44)</f>
        <v>44</v>
      </c>
      <c r="M15" s="64" t="s">
        <v>88</v>
      </c>
      <c r="O15" s="65" t="s">
        <v>15</v>
      </c>
      <c r="P15" s="64" t="s">
        <v>89</v>
      </c>
      <c r="Q15" s="64">
        <v>1E-3</v>
      </c>
      <c r="R15" s="64">
        <v>1</v>
      </c>
      <c r="S15" s="64">
        <v>3</v>
      </c>
      <c r="T15" s="64">
        <v>10</v>
      </c>
    </row>
    <row r="16" spans="1:72" ht="15.75" customHeight="1" thickTop="1" thickBot="1">
      <c r="A16" s="233" t="s">
        <v>90</v>
      </c>
      <c r="B16" s="66">
        <v>25</v>
      </c>
      <c r="F16" s="233" t="s">
        <v>91</v>
      </c>
      <c r="G16" s="58">
        <v>0.35</v>
      </c>
      <c r="H16" s="58">
        <v>1.2</v>
      </c>
      <c r="I16" s="58">
        <v>0.75</v>
      </c>
      <c r="K16" s="67"/>
      <c r="L16" s="63">
        <f>L21+1</f>
        <v>39</v>
      </c>
      <c r="M16" s="58" t="s">
        <v>92</v>
      </c>
      <c r="O16" s="68">
        <f ca="1">IFERROR(__xludf.DUMMYFUNCTION("countunique(P15:P20)"),6)</f>
        <v>6</v>
      </c>
      <c r="P16" s="58" t="s">
        <v>93</v>
      </c>
      <c r="Q16" s="58">
        <v>2E-3</v>
      </c>
      <c r="R16" s="58">
        <v>2</v>
      </c>
      <c r="S16" s="58">
        <v>2</v>
      </c>
      <c r="T16" s="58">
        <v>20</v>
      </c>
    </row>
    <row r="17" spans="1:20" ht="15.75" customHeight="1" thickTop="1" thickBot="1">
      <c r="F17" s="233" t="s">
        <v>94</v>
      </c>
      <c r="G17" s="58">
        <v>0.4</v>
      </c>
      <c r="H17" s="58">
        <v>1.2</v>
      </c>
      <c r="I17" s="58">
        <v>1</v>
      </c>
      <c r="K17" s="67"/>
      <c r="L17" s="69">
        <f>COUNTIF(StonesU,"&lt;&gt;")</f>
        <v>6</v>
      </c>
      <c r="M17" s="58" t="s">
        <v>95</v>
      </c>
      <c r="O17" s="9"/>
      <c r="P17" s="58" t="s">
        <v>96</v>
      </c>
      <c r="Q17" s="58">
        <v>5.0000000000000001E-3</v>
      </c>
      <c r="R17" s="58">
        <v>1</v>
      </c>
      <c r="S17" s="58">
        <v>3</v>
      </c>
      <c r="T17" s="58">
        <v>8</v>
      </c>
    </row>
    <row r="18" spans="1:20" ht="15.75" customHeight="1" thickTop="1" thickBot="1">
      <c r="A18" s="233" t="s">
        <v>97</v>
      </c>
      <c r="B18" s="24" t="s">
        <v>98</v>
      </c>
      <c r="F18" s="233" t="s">
        <v>99</v>
      </c>
      <c r="G18" s="58">
        <v>0.5</v>
      </c>
      <c r="H18" s="58">
        <v>1.2</v>
      </c>
      <c r="I18" s="58">
        <v>0.5</v>
      </c>
      <c r="K18" s="67"/>
      <c r="L18" s="70"/>
      <c r="M18" s="58" t="s">
        <v>100</v>
      </c>
      <c r="O18" s="68"/>
      <c r="P18" s="58" t="s">
        <v>101</v>
      </c>
      <c r="Q18" s="58">
        <v>0.01</v>
      </c>
      <c r="R18" s="58">
        <v>1</v>
      </c>
      <c r="S18" s="58">
        <v>3</v>
      </c>
      <c r="T18" s="58">
        <v>16</v>
      </c>
    </row>
    <row r="19" spans="1:20" ht="15.75" customHeight="1" thickTop="1" thickBot="1">
      <c r="A19" s="233" t="s">
        <v>102</v>
      </c>
      <c r="B19" s="71">
        <v>0.33</v>
      </c>
      <c r="F19" s="233" t="s">
        <v>103</v>
      </c>
      <c r="G19" s="58">
        <v>5</v>
      </c>
      <c r="H19" s="58">
        <v>1.2</v>
      </c>
      <c r="I19" s="58">
        <v>1</v>
      </c>
      <c r="K19" s="67"/>
      <c r="L19" s="72"/>
      <c r="M19" s="58" t="s">
        <v>104</v>
      </c>
      <c r="O19" s="68"/>
      <c r="P19" s="58" t="s">
        <v>105</v>
      </c>
      <c r="Q19" s="58">
        <v>0.1</v>
      </c>
      <c r="R19" s="58">
        <v>1.5</v>
      </c>
      <c r="S19" s="58">
        <v>5</v>
      </c>
      <c r="T19" s="58">
        <v>24</v>
      </c>
    </row>
    <row r="20" spans="1:20" ht="15.75" customHeight="1" thickTop="1" thickBot="1">
      <c r="A20" s="233" t="s">
        <v>13</v>
      </c>
      <c r="B20" s="71">
        <v>1</v>
      </c>
      <c r="F20" s="233" t="s">
        <v>106</v>
      </c>
      <c r="G20" s="58">
        <v>25</v>
      </c>
      <c r="H20" s="58">
        <v>1.2</v>
      </c>
      <c r="I20" s="58">
        <v>1</v>
      </c>
      <c r="K20" s="73"/>
      <c r="L20" s="72"/>
      <c r="M20" s="66" t="s">
        <v>107</v>
      </c>
      <c r="O20" s="74"/>
      <c r="P20" s="66" t="s">
        <v>108</v>
      </c>
      <c r="Q20" s="66">
        <v>0.5</v>
      </c>
      <c r="R20" s="66">
        <v>2</v>
      </c>
      <c r="S20" s="66">
        <v>3</v>
      </c>
      <c r="T20" s="66">
        <v>8</v>
      </c>
    </row>
    <row r="21" spans="1:20" ht="15.75" customHeight="1" thickTop="1" thickBot="1">
      <c r="A21" s="233" t="s">
        <v>109</v>
      </c>
      <c r="B21" s="71">
        <v>3</v>
      </c>
      <c r="F21" s="233" t="s">
        <v>110</v>
      </c>
      <c r="G21" s="58">
        <v>50</v>
      </c>
      <c r="H21" s="58">
        <v>1.2</v>
      </c>
      <c r="I21" s="58">
        <v>1</v>
      </c>
      <c r="K21" s="67" t="s">
        <v>27</v>
      </c>
      <c r="L21" s="63">
        <f>L49</f>
        <v>38</v>
      </c>
      <c r="M21" s="58" t="s">
        <v>111</v>
      </c>
      <c r="O21" s="65" t="s">
        <v>19</v>
      </c>
      <c r="P21" s="64" t="s">
        <v>112</v>
      </c>
      <c r="Q21" s="64">
        <v>2</v>
      </c>
      <c r="R21" s="64">
        <v>1.5</v>
      </c>
      <c r="S21" s="64">
        <v>8</v>
      </c>
      <c r="T21" s="64">
        <v>48</v>
      </c>
    </row>
    <row r="22" spans="1:20" ht="15.75" customHeight="1" thickTop="1" thickBot="1">
      <c r="A22" s="233" t="s">
        <v>24</v>
      </c>
      <c r="B22" s="75">
        <v>9</v>
      </c>
      <c r="F22" s="233" t="s">
        <v>113</v>
      </c>
      <c r="G22" s="58">
        <v>500</v>
      </c>
      <c r="H22" s="58">
        <v>1.5</v>
      </c>
      <c r="I22" s="58">
        <v>2</v>
      </c>
      <c r="K22" s="67"/>
      <c r="L22" s="63">
        <f>L29+1</f>
        <v>34</v>
      </c>
      <c r="M22" s="58" t="s">
        <v>114</v>
      </c>
      <c r="O22" s="68">
        <f ca="1">IFERROR(__xludf.DUMMYFUNCTION("countunique(P21:P29)"),9)</f>
        <v>9</v>
      </c>
      <c r="P22" s="58" t="s">
        <v>115</v>
      </c>
      <c r="Q22" s="58">
        <v>0.5</v>
      </c>
      <c r="R22" s="58">
        <v>1.5</v>
      </c>
      <c r="S22" s="58">
        <v>3</v>
      </c>
      <c r="T22" s="58">
        <v>5</v>
      </c>
    </row>
    <row r="23" spans="1:20" ht="15.75" customHeight="1" thickTop="1" thickBot="1">
      <c r="F23" s="233" t="s">
        <v>116</v>
      </c>
      <c r="G23" s="66">
        <v>1000</v>
      </c>
      <c r="H23" s="66">
        <v>1.2</v>
      </c>
      <c r="I23" s="66">
        <v>5</v>
      </c>
      <c r="K23" s="67"/>
      <c r="L23" s="69">
        <f>COUNTIF(StonesVR,"&lt;&gt;")</f>
        <v>5</v>
      </c>
      <c r="M23" s="58" t="s">
        <v>117</v>
      </c>
      <c r="O23" s="68"/>
      <c r="P23" s="58" t="s">
        <v>118</v>
      </c>
      <c r="Q23" s="58">
        <v>0.5</v>
      </c>
      <c r="R23" s="58">
        <v>1.5</v>
      </c>
      <c r="S23" s="58">
        <v>3</v>
      </c>
      <c r="T23" s="58">
        <v>5</v>
      </c>
    </row>
    <row r="24" spans="1:20" ht="15.75" customHeight="1" thickTop="1" thickBot="1">
      <c r="A24" s="233" t="s">
        <v>38</v>
      </c>
      <c r="B24" s="233" t="s">
        <v>119</v>
      </c>
      <c r="C24" s="233" t="s">
        <v>120</v>
      </c>
      <c r="D24" s="233" t="s">
        <v>121</v>
      </c>
      <c r="F24" s="233" t="s">
        <v>122</v>
      </c>
      <c r="G24" s="77">
        <f ca="1">IFERROR(__xludf.DUMMYFUNCTION("countunique(MaterialRange)"),10)</f>
        <v>10</v>
      </c>
      <c r="H24" s="78"/>
      <c r="I24" s="78"/>
      <c r="K24" s="67"/>
      <c r="L24" s="79">
        <f>L23+L29</f>
        <v>38</v>
      </c>
      <c r="M24" s="58" t="s">
        <v>123</v>
      </c>
      <c r="O24" s="68"/>
      <c r="P24" s="58" t="s">
        <v>124</v>
      </c>
      <c r="Q24" s="58">
        <v>0.5</v>
      </c>
      <c r="R24" s="58">
        <v>2</v>
      </c>
      <c r="S24" s="58">
        <v>3</v>
      </c>
      <c r="T24" s="58">
        <v>8</v>
      </c>
    </row>
    <row r="25" spans="1:20" ht="15.75" customHeight="1" thickTop="1" thickBot="1">
      <c r="A25" s="233" t="s">
        <v>10</v>
      </c>
      <c r="B25" s="80">
        <v>1</v>
      </c>
      <c r="C25" s="81">
        <v>1</v>
      </c>
      <c r="D25" s="82">
        <f>L50</f>
        <v>1</v>
      </c>
      <c r="K25" s="73"/>
      <c r="L25" s="72"/>
      <c r="M25" s="66" t="s">
        <v>125</v>
      </c>
      <c r="O25" s="68"/>
      <c r="P25" s="58" t="s">
        <v>126</v>
      </c>
      <c r="Q25" s="58">
        <v>1</v>
      </c>
      <c r="R25" s="58">
        <v>1</v>
      </c>
      <c r="S25" s="58">
        <v>8</v>
      </c>
      <c r="T25" s="58">
        <v>24</v>
      </c>
    </row>
    <row r="26" spans="1:20" ht="15.75" customHeight="1" thickTop="1" thickBot="1">
      <c r="A26" s="233" t="s">
        <v>15</v>
      </c>
      <c r="B26" s="80">
        <v>10</v>
      </c>
      <c r="C26" s="81">
        <v>2</v>
      </c>
      <c r="D26" s="83">
        <f>L42</f>
        <v>11</v>
      </c>
      <c r="F26" s="24" t="s">
        <v>127</v>
      </c>
      <c r="G26" s="24" t="s">
        <v>128</v>
      </c>
      <c r="H26" s="24" t="s">
        <v>33</v>
      </c>
      <c r="K26" s="62" t="s">
        <v>23</v>
      </c>
      <c r="L26" s="73">
        <f>L49</f>
        <v>38</v>
      </c>
      <c r="M26" s="64" t="s">
        <v>129</v>
      </c>
      <c r="O26" s="83"/>
      <c r="P26" s="58" t="s">
        <v>130</v>
      </c>
      <c r="Q26" s="58">
        <v>1</v>
      </c>
      <c r="R26" s="58">
        <v>1</v>
      </c>
      <c r="S26" s="58">
        <v>4</v>
      </c>
      <c r="T26" s="58">
        <v>16</v>
      </c>
    </row>
    <row r="27" spans="1:20" ht="15.75" customHeight="1" thickTop="1" thickBot="1">
      <c r="A27" s="233" t="s">
        <v>19</v>
      </c>
      <c r="B27" s="80">
        <v>100</v>
      </c>
      <c r="C27" s="81">
        <v>3</v>
      </c>
      <c r="D27" s="83">
        <f>L34</f>
        <v>19</v>
      </c>
      <c r="F27" s="25">
        <v>-10</v>
      </c>
      <c r="G27" s="25" t="s">
        <v>131</v>
      </c>
      <c r="H27" s="25">
        <v>0.5</v>
      </c>
      <c r="K27" s="67"/>
      <c r="L27" s="62">
        <f>L36+1</f>
        <v>27</v>
      </c>
      <c r="M27" s="58" t="s">
        <v>132</v>
      </c>
      <c r="O27" s="68"/>
      <c r="P27" s="58" t="s">
        <v>133</v>
      </c>
      <c r="Q27" s="58">
        <v>0.5</v>
      </c>
      <c r="R27" s="58">
        <v>1.5</v>
      </c>
      <c r="S27" s="58">
        <v>4</v>
      </c>
      <c r="T27" s="58">
        <v>16</v>
      </c>
    </row>
    <row r="28" spans="1:20" ht="15.75" customHeight="1" thickTop="1" thickBot="1">
      <c r="A28" s="233" t="s">
        <v>23</v>
      </c>
      <c r="B28" s="80">
        <v>500</v>
      </c>
      <c r="C28" s="81">
        <v>4</v>
      </c>
      <c r="D28" s="83">
        <f>L27</f>
        <v>27</v>
      </c>
      <c r="F28" s="81">
        <v>1</v>
      </c>
      <c r="G28" s="81" t="s">
        <v>134</v>
      </c>
      <c r="H28" s="81">
        <v>0.75</v>
      </c>
      <c r="K28" s="67"/>
      <c r="L28" s="79">
        <f>COUNTIF(StonesR,"&lt;&gt;")</f>
        <v>7</v>
      </c>
      <c r="M28" s="84" t="s">
        <v>135</v>
      </c>
      <c r="O28" s="68"/>
      <c r="P28" s="58" t="s">
        <v>136</v>
      </c>
      <c r="Q28" s="58">
        <v>0.05</v>
      </c>
      <c r="R28" s="58">
        <v>2</v>
      </c>
      <c r="S28" s="58">
        <v>5</v>
      </c>
      <c r="T28" s="58">
        <v>24</v>
      </c>
    </row>
    <row r="29" spans="1:20" ht="14.25" thickTop="1" thickBot="1">
      <c r="A29" s="233" t="s">
        <v>27</v>
      </c>
      <c r="B29" s="80">
        <v>1000</v>
      </c>
      <c r="C29" s="81">
        <v>5</v>
      </c>
      <c r="D29" s="83">
        <f>L22</f>
        <v>34</v>
      </c>
      <c r="F29" s="81">
        <v>25</v>
      </c>
      <c r="G29" s="81" t="s">
        <v>137</v>
      </c>
      <c r="H29" s="81">
        <v>1</v>
      </c>
      <c r="K29" s="67"/>
      <c r="L29" s="79">
        <f>L28+L36</f>
        <v>33</v>
      </c>
      <c r="M29" s="84" t="s">
        <v>138</v>
      </c>
      <c r="O29" s="74"/>
      <c r="P29" s="66" t="s">
        <v>139</v>
      </c>
      <c r="Q29" s="66">
        <v>0.05</v>
      </c>
      <c r="R29" s="66">
        <v>1.5</v>
      </c>
      <c r="S29" s="66">
        <v>3</v>
      </c>
      <c r="T29" s="66">
        <v>18</v>
      </c>
    </row>
    <row r="30" spans="1:20" ht="14.25" thickTop="1" thickBot="1">
      <c r="A30" s="233" t="s">
        <v>52</v>
      </c>
      <c r="B30" s="85">
        <v>5000</v>
      </c>
      <c r="C30" s="86"/>
      <c r="D30" s="86">
        <f>L16</f>
        <v>39</v>
      </c>
      <c r="F30" s="81">
        <v>75</v>
      </c>
      <c r="G30" s="81" t="s">
        <v>140</v>
      </c>
      <c r="H30" s="81">
        <v>1.5</v>
      </c>
      <c r="K30" s="67"/>
      <c r="L30" s="87"/>
      <c r="M30" s="84" t="s">
        <v>141</v>
      </c>
      <c r="O30" s="65" t="s">
        <v>23</v>
      </c>
      <c r="P30" s="64" t="s">
        <v>142</v>
      </c>
      <c r="Q30" s="64">
        <v>1</v>
      </c>
      <c r="R30" s="64">
        <v>2</v>
      </c>
      <c r="S30" s="64">
        <v>5</v>
      </c>
      <c r="T30" s="64">
        <v>12</v>
      </c>
    </row>
    <row r="31" spans="1:20" ht="14.25" thickTop="1" thickBot="1">
      <c r="F31" s="88">
        <v>100</v>
      </c>
      <c r="G31" s="88" t="s">
        <v>143</v>
      </c>
      <c r="H31" s="88">
        <v>2</v>
      </c>
      <c r="K31" s="67"/>
      <c r="L31" s="87"/>
      <c r="M31" s="84" t="s">
        <v>144</v>
      </c>
      <c r="O31" s="68">
        <f ca="1">IFERROR(__xludf.DUMMYFUNCTION("countunique(P30:P34)"),5)</f>
        <v>5</v>
      </c>
      <c r="P31" s="58" t="s">
        <v>145</v>
      </c>
      <c r="Q31" s="58">
        <v>1</v>
      </c>
      <c r="R31" s="58">
        <v>3</v>
      </c>
      <c r="S31" s="58">
        <v>3</v>
      </c>
      <c r="T31" s="58">
        <v>18</v>
      </c>
    </row>
    <row r="32" spans="1:20" ht="14.25" thickTop="1" thickBot="1">
      <c r="A32" s="233" t="s">
        <v>146</v>
      </c>
      <c r="B32" s="233" t="s">
        <v>147</v>
      </c>
      <c r="C32" s="233" t="s">
        <v>148</v>
      </c>
      <c r="K32" s="73"/>
      <c r="L32" s="87"/>
      <c r="M32" s="89" t="s">
        <v>149</v>
      </c>
      <c r="O32" s="68"/>
      <c r="P32" s="58" t="s">
        <v>150</v>
      </c>
      <c r="Q32" s="58">
        <v>1</v>
      </c>
      <c r="R32" s="58">
        <v>1.5</v>
      </c>
      <c r="S32" s="58">
        <v>4</v>
      </c>
      <c r="T32" s="58">
        <v>24</v>
      </c>
    </row>
    <row r="33" spans="1:47" ht="14.25" thickTop="1" thickBot="1">
      <c r="A33" s="233" t="s">
        <v>11</v>
      </c>
      <c r="B33" s="90">
        <v>-0.1</v>
      </c>
      <c r="C33" s="90">
        <f t="shared" ref="C33:C36" si="3">IF(B33&gt;=0,0,ABS(B33))</f>
        <v>0.1</v>
      </c>
      <c r="F33" s="39"/>
      <c r="G33" s="76" t="s">
        <v>25</v>
      </c>
      <c r="K33" s="91" t="s">
        <v>19</v>
      </c>
      <c r="L33" s="63">
        <f>L49</f>
        <v>38</v>
      </c>
      <c r="M33" s="92" t="s">
        <v>151</v>
      </c>
      <c r="O33" s="68"/>
      <c r="P33" s="58" t="s">
        <v>152</v>
      </c>
      <c r="Q33" s="58">
        <v>0.5</v>
      </c>
      <c r="R33" s="58">
        <v>1.5</v>
      </c>
      <c r="S33" s="58">
        <v>3</v>
      </c>
      <c r="T33" s="58">
        <v>16</v>
      </c>
    </row>
    <row r="34" spans="1:47" ht="14.25" thickTop="1" thickBot="1">
      <c r="A34" s="233" t="s">
        <v>13</v>
      </c>
      <c r="B34" s="90">
        <v>0</v>
      </c>
      <c r="C34" s="90">
        <f t="shared" si="3"/>
        <v>0</v>
      </c>
      <c r="F34" s="233" t="s">
        <v>153</v>
      </c>
      <c r="G34" s="83">
        <f ca="1">COUNTIF(LooseRange,"&lt;&gt;")</f>
        <v>25</v>
      </c>
      <c r="K34" s="93"/>
      <c r="L34" s="63">
        <f>L44+1</f>
        <v>19</v>
      </c>
      <c r="M34" s="84" t="s">
        <v>154</v>
      </c>
      <c r="O34" s="74"/>
      <c r="P34" s="66" t="s">
        <v>155</v>
      </c>
      <c r="Q34" s="66">
        <v>1.5</v>
      </c>
      <c r="R34" s="66">
        <v>1.5</v>
      </c>
      <c r="S34" s="66">
        <v>6</v>
      </c>
      <c r="T34" s="66">
        <v>24</v>
      </c>
    </row>
    <row r="35" spans="1:47" ht="14.25" thickTop="1" thickBot="1">
      <c r="A35" s="233" t="s">
        <v>156</v>
      </c>
      <c r="B35" s="90">
        <v>0.1</v>
      </c>
      <c r="C35" s="90">
        <f t="shared" si="3"/>
        <v>0</v>
      </c>
      <c r="F35" s="233" t="s">
        <v>44</v>
      </c>
      <c r="G35" s="83">
        <f ca="1">COUNTIF(PlainRange,"&lt;&gt;")</f>
        <v>25</v>
      </c>
      <c r="K35" s="93"/>
      <c r="L35" s="69">
        <f>COUNTIF(StonesUC,"&lt;&gt;")</f>
        <v>8</v>
      </c>
      <c r="M35" s="58" t="s">
        <v>157</v>
      </c>
      <c r="O35" s="25" t="s">
        <v>52</v>
      </c>
      <c r="P35" s="64" t="s">
        <v>158</v>
      </c>
      <c r="Q35" s="64">
        <v>0.5</v>
      </c>
      <c r="R35" s="64">
        <v>4</v>
      </c>
      <c r="S35" s="64">
        <v>5</v>
      </c>
      <c r="T35" s="64">
        <v>24</v>
      </c>
    </row>
    <row r="36" spans="1:47" ht="14.25" thickTop="1" thickBot="1">
      <c r="A36" s="233" t="s">
        <v>71</v>
      </c>
      <c r="B36" s="94">
        <v>0.2</v>
      </c>
      <c r="C36" s="94">
        <f t="shared" si="3"/>
        <v>0</v>
      </c>
      <c r="F36" s="233" t="s">
        <v>159</v>
      </c>
      <c r="G36" s="83">
        <f ca="1">COUNTIF(MissingRange,"&lt;&gt;")</f>
        <v>12</v>
      </c>
      <c r="K36" s="93"/>
      <c r="L36" s="79">
        <f>L35+L44</f>
        <v>26</v>
      </c>
      <c r="M36" s="84" t="s">
        <v>160</v>
      </c>
      <c r="O36" s="83">
        <f ca="1">IFERROR(__xludf.DUMMYFUNCTION("countunique(P35:P39)"),5)</f>
        <v>5</v>
      </c>
      <c r="P36" s="58" t="s">
        <v>161</v>
      </c>
      <c r="Q36" s="58">
        <v>1</v>
      </c>
      <c r="R36" s="58">
        <v>2</v>
      </c>
      <c r="S36" s="58">
        <v>8</v>
      </c>
      <c r="T36" s="58">
        <v>24</v>
      </c>
    </row>
    <row r="37" spans="1:47" ht="14.25" thickTop="1" thickBot="1">
      <c r="F37" s="233" t="s">
        <v>46</v>
      </c>
      <c r="G37" s="83">
        <f ca="1">COUNTIF(SetRange,"&lt;&gt;")</f>
        <v>25</v>
      </c>
      <c r="K37" s="93"/>
      <c r="L37" s="87"/>
      <c r="M37" s="58" t="s">
        <v>162</v>
      </c>
      <c r="O37" s="83"/>
      <c r="P37" s="58" t="s">
        <v>163</v>
      </c>
      <c r="Q37" s="58">
        <v>0.25</v>
      </c>
      <c r="R37" s="58">
        <v>2</v>
      </c>
      <c r="S37" s="58">
        <v>2</v>
      </c>
      <c r="T37" s="58">
        <v>16</v>
      </c>
      <c r="AI37" s="95"/>
      <c r="AJ37" s="96"/>
      <c r="AK37" s="96"/>
      <c r="AL37" s="96"/>
      <c r="AM37" s="96"/>
      <c r="AN37" s="96"/>
      <c r="AO37" s="96"/>
      <c r="AP37" s="97"/>
      <c r="AQ37" s="98"/>
      <c r="AR37" s="96"/>
      <c r="AS37" s="96"/>
      <c r="AT37" s="96"/>
      <c r="AU37" s="96"/>
    </row>
    <row r="38" spans="1:47" ht="14.25" thickTop="1" thickBot="1">
      <c r="A38" s="228" t="s">
        <v>164</v>
      </c>
      <c r="B38" s="214"/>
      <c r="C38" s="215"/>
      <c r="D38" s="76">
        <f ca="1">IFERROR(__xludf.DUMMYFUNCTION("countunique(D40:D44)"),5)</f>
        <v>5</v>
      </c>
      <c r="F38" s="233" t="s">
        <v>165</v>
      </c>
      <c r="G38" s="83">
        <f ca="1">COUNTIF(MultiRange,"&lt;&gt;")</f>
        <v>12</v>
      </c>
      <c r="K38" s="93"/>
      <c r="L38" s="87"/>
      <c r="M38" s="58" t="s">
        <v>166</v>
      </c>
      <c r="O38" s="83"/>
      <c r="P38" s="58" t="s">
        <v>167</v>
      </c>
      <c r="Q38" s="58">
        <v>2</v>
      </c>
      <c r="R38" s="58">
        <v>2</v>
      </c>
      <c r="S38" s="58">
        <v>8</v>
      </c>
      <c r="T38" s="58">
        <v>32</v>
      </c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</row>
    <row r="39" spans="1:47" ht="14.25" thickTop="1" thickBot="1">
      <c r="A39" s="233" t="s">
        <v>102</v>
      </c>
      <c r="B39" s="233" t="s">
        <v>13</v>
      </c>
      <c r="C39" s="233" t="s">
        <v>109</v>
      </c>
      <c r="D39" s="233" t="s">
        <v>24</v>
      </c>
      <c r="F39" s="233" t="s">
        <v>168</v>
      </c>
      <c r="G39" s="86">
        <f ca="1">COUNTIF(ExtremeRange,"&lt;&gt;")</f>
        <v>12</v>
      </c>
      <c r="K39" s="93"/>
      <c r="L39" s="87"/>
      <c r="M39" s="58" t="s">
        <v>169</v>
      </c>
      <c r="O39" s="88"/>
      <c r="P39" s="66" t="s">
        <v>170</v>
      </c>
      <c r="Q39" s="66">
        <v>2</v>
      </c>
      <c r="R39" s="66">
        <v>2</v>
      </c>
      <c r="S39" s="66">
        <v>8</v>
      </c>
      <c r="T39" s="66">
        <v>32</v>
      </c>
      <c r="AI39" s="99"/>
      <c r="AJ39" s="99"/>
      <c r="AK39" s="99"/>
      <c r="AL39" s="99"/>
      <c r="AM39" s="99"/>
      <c r="AN39" s="99"/>
      <c r="AO39" s="96"/>
      <c r="AP39" s="96"/>
      <c r="AQ39" s="96"/>
      <c r="AR39" s="96"/>
      <c r="AS39" s="96"/>
      <c r="AT39" s="96"/>
      <c r="AU39" s="96"/>
    </row>
    <row r="40" spans="1:47" ht="14.25" thickTop="1" thickBot="1">
      <c r="A40" s="25" t="s">
        <v>171</v>
      </c>
      <c r="B40" s="25" t="s">
        <v>172</v>
      </c>
      <c r="C40" s="25" t="s">
        <v>173</v>
      </c>
      <c r="D40" s="25" t="s">
        <v>174</v>
      </c>
      <c r="K40" s="100"/>
      <c r="L40" s="72"/>
      <c r="M40" s="66" t="s">
        <v>175</v>
      </c>
      <c r="O40" s="24" t="s">
        <v>122</v>
      </c>
      <c r="P40" s="77">
        <f ca="1">IFERROR(__xludf.DUMMYFUNCTION("countunique(P15:P39)"),25)</f>
        <v>25</v>
      </c>
    </row>
    <row r="41" spans="1:47" ht="12.75">
      <c r="A41" s="81" t="s">
        <v>176</v>
      </c>
      <c r="B41" s="81" t="s">
        <v>177</v>
      </c>
      <c r="C41" s="81" t="s">
        <v>178</v>
      </c>
      <c r="D41" s="81" t="s">
        <v>179</v>
      </c>
      <c r="K41" s="62" t="s">
        <v>15</v>
      </c>
      <c r="L41" s="63">
        <f>L49</f>
        <v>38</v>
      </c>
      <c r="M41" s="64" t="s">
        <v>180</v>
      </c>
      <c r="O41" s="24" t="s">
        <v>181</v>
      </c>
      <c r="P41" s="77">
        <f ca="1">IFERROR(__xludf.DUMMYFUNCTION("countunique(P15:P20)"),6)</f>
        <v>6</v>
      </c>
    </row>
    <row r="42" spans="1:47" ht="12.75">
      <c r="A42" s="81" t="s">
        <v>182</v>
      </c>
      <c r="B42" s="81" t="s">
        <v>183</v>
      </c>
      <c r="C42" s="81" t="s">
        <v>20</v>
      </c>
      <c r="D42" s="81" t="s">
        <v>184</v>
      </c>
      <c r="K42" s="67"/>
      <c r="L42" s="63">
        <f>L51+1</f>
        <v>11</v>
      </c>
      <c r="M42" s="58" t="s">
        <v>185</v>
      </c>
    </row>
    <row r="43" spans="1:47" ht="12.75">
      <c r="A43" s="81" t="s">
        <v>186</v>
      </c>
      <c r="B43" s="81" t="s">
        <v>15</v>
      </c>
      <c r="C43" s="81" t="s">
        <v>187</v>
      </c>
      <c r="D43" s="81" t="s">
        <v>188</v>
      </c>
      <c r="K43" s="67"/>
      <c r="L43" s="69">
        <f>COUNTIF(StonesC,"&lt;&gt;")</f>
        <v>8</v>
      </c>
      <c r="M43" s="58" t="s">
        <v>189</v>
      </c>
    </row>
    <row r="44" spans="1:47" ht="12.75">
      <c r="A44" s="88" t="s">
        <v>190</v>
      </c>
      <c r="B44" s="88" t="s">
        <v>191</v>
      </c>
      <c r="C44" s="88" t="s">
        <v>192</v>
      </c>
      <c r="D44" s="88" t="s">
        <v>193</v>
      </c>
      <c r="K44" s="67"/>
      <c r="L44" s="79">
        <f>L43+L51</f>
        <v>18</v>
      </c>
      <c r="M44" s="58" t="s">
        <v>194</v>
      </c>
    </row>
    <row r="45" spans="1:47" ht="12.75">
      <c r="K45" s="67"/>
      <c r="L45" s="87"/>
      <c r="M45" s="58" t="s">
        <v>195</v>
      </c>
    </row>
    <row r="46" spans="1:47" ht="12.75">
      <c r="K46" s="67"/>
      <c r="L46" s="87"/>
      <c r="M46" s="58" t="s">
        <v>196</v>
      </c>
    </row>
    <row r="47" spans="1:47" ht="12.75">
      <c r="K47" s="67"/>
      <c r="L47" s="87"/>
      <c r="M47" s="58" t="s">
        <v>197</v>
      </c>
    </row>
    <row r="48" spans="1:47" ht="12.75">
      <c r="A48" s="230" t="s">
        <v>198</v>
      </c>
      <c r="B48" s="222"/>
      <c r="C48" s="222"/>
      <c r="D48" s="222"/>
      <c r="E48" s="222"/>
      <c r="F48" s="223"/>
      <c r="G48" s="44"/>
      <c r="H48" s="44"/>
      <c r="I48" s="44"/>
      <c r="J48" s="44"/>
      <c r="K48" s="73"/>
      <c r="L48" s="72"/>
      <c r="M48" s="66" t="s">
        <v>144</v>
      </c>
    </row>
    <row r="49" spans="1:13" ht="14.25" thickTop="1" thickBot="1">
      <c r="A49" s="231"/>
      <c r="B49" s="226"/>
      <c r="C49" s="226"/>
      <c r="D49" s="226"/>
      <c r="E49" s="226"/>
      <c r="F49" s="227"/>
      <c r="G49" s="44"/>
      <c r="H49" s="44"/>
      <c r="I49" s="44"/>
      <c r="J49" s="44"/>
      <c r="K49" s="67" t="s">
        <v>10</v>
      </c>
      <c r="L49" s="63">
        <f>StoneTypes-L17</f>
        <v>38</v>
      </c>
      <c r="M49" s="58" t="s">
        <v>199</v>
      </c>
    </row>
    <row r="50" spans="1:13" ht="14.25" thickTop="1" thickBot="1">
      <c r="A50" s="232" t="s">
        <v>84</v>
      </c>
      <c r="B50" s="77" t="str">
        <f>'Jewelry Shop Inventory'!B4</f>
        <v>Emporium</v>
      </c>
      <c r="C50" s="233" t="s">
        <v>200</v>
      </c>
      <c r="D50" s="101" t="s">
        <v>3</v>
      </c>
      <c r="E50" s="102" t="s">
        <v>201</v>
      </c>
      <c r="F50" s="103" t="s">
        <v>202</v>
      </c>
      <c r="K50" s="67"/>
      <c r="L50" s="63">
        <v>1</v>
      </c>
      <c r="M50" s="58" t="s">
        <v>203</v>
      </c>
    </row>
    <row r="51" spans="1:13" ht="14.25" thickTop="1" thickBot="1">
      <c r="A51" s="232" t="s">
        <v>146</v>
      </c>
      <c r="B51" s="104" t="str">
        <f>'Jewelry Shop Inventory'!B5</f>
        <v>Average</v>
      </c>
      <c r="C51" s="233" t="s">
        <v>153</v>
      </c>
      <c r="D51" s="105">
        <f ca="1">OFFSET($A$4,MATCH($B$50,MerchType,0),1)</f>
        <v>0.34</v>
      </c>
      <c r="E51" s="101">
        <v>1</v>
      </c>
      <c r="F51" s="106">
        <f ca="1">D51*100</f>
        <v>34</v>
      </c>
      <c r="K51" s="67"/>
      <c r="L51" s="69">
        <f>COUNTIF(StonesVC,"&lt;&gt;")</f>
        <v>10</v>
      </c>
      <c r="M51" s="58" t="s">
        <v>204</v>
      </c>
    </row>
    <row r="52" spans="1:13" ht="14.25" thickTop="1" thickBot="1">
      <c r="A52" s="233" t="s">
        <v>205</v>
      </c>
      <c r="B52" s="107">
        <f ca="1">OFFSET(A32,MATCH(B51,Wealth,0),1)</f>
        <v>0</v>
      </c>
      <c r="C52" s="233" t="s">
        <v>44</v>
      </c>
      <c r="D52" s="49">
        <f ca="1">OFFSET($A$4,MATCH($B$50,MerchType,0),2)</f>
        <v>0.25</v>
      </c>
      <c r="E52" s="108">
        <f t="shared" ref="E52:E56" ca="1" si="4">F51+1</f>
        <v>35</v>
      </c>
      <c r="F52" s="109">
        <f t="shared" ref="F52:F56" ca="1" si="5">D52*100+E52-1</f>
        <v>59</v>
      </c>
      <c r="K52" s="67"/>
      <c r="L52" s="79"/>
      <c r="M52" s="58" t="s">
        <v>206</v>
      </c>
    </row>
    <row r="53" spans="1:13" ht="14.25" thickTop="1" thickBot="1">
      <c r="A53" s="232" t="s">
        <v>207</v>
      </c>
      <c r="B53" s="110">
        <f ca="1">OFFSET(A32,MATCH(B51,Wealth,0),2)</f>
        <v>0</v>
      </c>
      <c r="C53" s="233" t="s">
        <v>159</v>
      </c>
      <c r="D53" s="49">
        <f ca="1">OFFSET($A$4,MATCH($B$50,MerchType,0),3)</f>
        <v>0.01</v>
      </c>
      <c r="E53" s="108">
        <f t="shared" ca="1" si="4"/>
        <v>60</v>
      </c>
      <c r="F53" s="109">
        <f t="shared" ca="1" si="5"/>
        <v>60</v>
      </c>
      <c r="K53" s="67"/>
      <c r="L53" s="87"/>
      <c r="M53" s="58" t="s">
        <v>208</v>
      </c>
    </row>
    <row r="54" spans="1:13" ht="14.25" thickTop="1" thickBot="1">
      <c r="A54" s="232" t="s">
        <v>16</v>
      </c>
      <c r="B54" s="104" t="str">
        <f>'Jewelry Shop Inventory'!B6</f>
        <v>Medium</v>
      </c>
      <c r="C54" s="233" t="s">
        <v>46</v>
      </c>
      <c r="D54" s="49">
        <f ca="1">OFFSET($A$4,MATCH($B$50,MerchType,0),4)</f>
        <v>0.25</v>
      </c>
      <c r="E54" s="108">
        <f t="shared" ca="1" si="4"/>
        <v>61</v>
      </c>
      <c r="F54" s="109">
        <f t="shared" ca="1" si="5"/>
        <v>85</v>
      </c>
      <c r="K54" s="67"/>
      <c r="L54" s="87"/>
      <c r="M54" s="58" t="s">
        <v>209</v>
      </c>
    </row>
    <row r="55" spans="1:13" ht="14.25" thickTop="1" thickBot="1">
      <c r="A55" s="232" t="s">
        <v>210</v>
      </c>
      <c r="B55" s="104">
        <f ca="1">OFFSET(A13,MATCH(B54,InvSize,0),1)</f>
        <v>15</v>
      </c>
      <c r="C55" s="233" t="s">
        <v>211</v>
      </c>
      <c r="D55" s="49">
        <f ca="1">OFFSET($A$4,MATCH($B$50,MerchType,0),5)</f>
        <v>0.1</v>
      </c>
      <c r="E55" s="108">
        <f t="shared" ca="1" si="4"/>
        <v>86</v>
      </c>
      <c r="F55" s="109">
        <f t="shared" ca="1" si="5"/>
        <v>95</v>
      </c>
      <c r="K55" s="67"/>
      <c r="L55" s="87"/>
      <c r="M55" s="58" t="s">
        <v>212</v>
      </c>
    </row>
    <row r="56" spans="1:13" ht="14.25" thickTop="1" thickBot="1">
      <c r="A56" s="232" t="s">
        <v>16</v>
      </c>
      <c r="B56" s="104">
        <f ca="1">B55+RANDBETWEEN(1,10)</f>
        <v>20</v>
      </c>
      <c r="C56" s="233" t="s">
        <v>213</v>
      </c>
      <c r="D56" s="54">
        <f ca="1">OFFSET($A$4,MATCH($B$50,MerchType,0),6)</f>
        <v>0.05</v>
      </c>
      <c r="E56" s="108">
        <f t="shared" ca="1" si="4"/>
        <v>96</v>
      </c>
      <c r="F56" s="109">
        <f t="shared" ca="1" si="5"/>
        <v>100</v>
      </c>
      <c r="K56" s="67"/>
      <c r="L56" s="87"/>
      <c r="M56" s="58" t="s">
        <v>214</v>
      </c>
    </row>
    <row r="57" spans="1:13" ht="14.25" thickTop="1" thickBot="1">
      <c r="C57" s="233" t="s">
        <v>215</v>
      </c>
      <c r="D57" s="111" t="s">
        <v>3</v>
      </c>
      <c r="E57" s="101" t="s">
        <v>201</v>
      </c>
      <c r="F57" s="47" t="s">
        <v>202</v>
      </c>
      <c r="K57" s="67"/>
      <c r="L57" s="87"/>
      <c r="M57" s="58" t="s">
        <v>216</v>
      </c>
    </row>
    <row r="58" spans="1:13" ht="14.25" thickTop="1" thickBot="1">
      <c r="C58" s="233" t="s">
        <v>102</v>
      </c>
      <c r="D58" s="112">
        <f ca="1">OFFSET($A$4,MATCH($B$50,MerchType,0),15)</f>
        <v>0.05</v>
      </c>
      <c r="E58" s="113">
        <v>1</v>
      </c>
      <c r="F58" s="114">
        <f ca="1">D58*100</f>
        <v>5</v>
      </c>
      <c r="K58" s="73"/>
      <c r="L58" s="72"/>
      <c r="M58" s="66" t="s">
        <v>217</v>
      </c>
    </row>
    <row r="59" spans="1:13" ht="14.25" thickTop="1" thickBot="1">
      <c r="C59" s="233" t="s">
        <v>13</v>
      </c>
      <c r="D59" s="112">
        <f ca="1">OFFSET($A$4,MATCH($B$50,MerchType,0),16)</f>
        <v>0.6</v>
      </c>
      <c r="E59" s="115">
        <f t="shared" ref="E59:E61" ca="1" si="6">F58+1</f>
        <v>6</v>
      </c>
      <c r="F59" s="116">
        <f t="shared" ref="F59:F61" ca="1" si="7">D59*100+E59-1</f>
        <v>65</v>
      </c>
      <c r="K59" s="43" t="s">
        <v>218</v>
      </c>
      <c r="L59" s="78">
        <f>COUNTIF(StoneTypeRange,"&lt;&gt;")</f>
        <v>44</v>
      </c>
    </row>
    <row r="60" spans="1:13" ht="14.25" thickTop="1" thickBot="1">
      <c r="C60" s="233" t="s">
        <v>109</v>
      </c>
      <c r="D60" s="112">
        <f ca="1">OFFSET($A$4,MATCH($B$50,MerchType,0),17)</f>
        <v>0.25</v>
      </c>
      <c r="E60" s="115">
        <f t="shared" ca="1" si="6"/>
        <v>66</v>
      </c>
      <c r="F60" s="116">
        <f t="shared" ca="1" si="7"/>
        <v>90</v>
      </c>
    </row>
    <row r="61" spans="1:13" ht="14.25" thickTop="1" thickBot="1">
      <c r="C61" s="233" t="s">
        <v>24</v>
      </c>
      <c r="D61" s="112">
        <f ca="1">OFFSET($A$4,MATCH($B$50,MerchType,0),18)</f>
        <v>0.1</v>
      </c>
      <c r="E61" s="117">
        <f t="shared" ca="1" si="6"/>
        <v>91</v>
      </c>
      <c r="F61" s="118">
        <f t="shared" ca="1" si="7"/>
        <v>100</v>
      </c>
    </row>
    <row r="62" spans="1:13" ht="14.25" thickTop="1" thickBot="1">
      <c r="B62" s="25" t="s">
        <v>202</v>
      </c>
      <c r="C62" s="233" t="s">
        <v>38</v>
      </c>
      <c r="D62" s="102" t="s">
        <v>3</v>
      </c>
      <c r="E62" s="119" t="s">
        <v>201</v>
      </c>
      <c r="F62" s="120" t="s">
        <v>202</v>
      </c>
    </row>
    <row r="63" spans="1:13" ht="14.25" thickTop="1" thickBot="1">
      <c r="B63" s="82">
        <f t="shared" ref="B63:B68" si="8">E63</f>
        <v>1</v>
      </c>
      <c r="C63" s="233" t="s">
        <v>10</v>
      </c>
      <c r="D63" s="121">
        <f ca="1">OFFSET($A$4,MATCH($B$50,MerchType,0),8)</f>
        <v>0.3</v>
      </c>
      <c r="E63" s="101">
        <v>1</v>
      </c>
      <c r="F63" s="106">
        <f ca="1">D63*100</f>
        <v>30</v>
      </c>
    </row>
    <row r="64" spans="1:13" ht="14.25" thickTop="1" thickBot="1">
      <c r="B64" s="83">
        <f t="shared" ca="1" si="8"/>
        <v>31</v>
      </c>
      <c r="C64" s="233" t="s">
        <v>15</v>
      </c>
      <c r="D64" s="121">
        <f ca="1">OFFSET($A$4,MATCH($B$50,MerchType,0),9)</f>
        <v>0.3</v>
      </c>
      <c r="E64" s="108">
        <f t="shared" ref="E64:E68" ca="1" si="9">F63+1</f>
        <v>31</v>
      </c>
      <c r="F64" s="109">
        <f t="shared" ref="F64:F68" ca="1" si="10">D64*100+E64-1</f>
        <v>60</v>
      </c>
    </row>
    <row r="65" spans="1:25" ht="14.25" thickTop="1" thickBot="1">
      <c r="B65" s="83">
        <f t="shared" ca="1" si="8"/>
        <v>61</v>
      </c>
      <c r="C65" s="233" t="s">
        <v>19</v>
      </c>
      <c r="D65" s="121">
        <f ca="1">OFFSET($A$4,MATCH($B$50,MerchType,0),10)</f>
        <v>0.25</v>
      </c>
      <c r="E65" s="108">
        <f t="shared" ca="1" si="9"/>
        <v>61</v>
      </c>
      <c r="F65" s="109">
        <f t="shared" ca="1" si="10"/>
        <v>85</v>
      </c>
    </row>
    <row r="66" spans="1:25" ht="14.25" thickTop="1" thickBot="1">
      <c r="B66" s="83">
        <f t="shared" ca="1" si="8"/>
        <v>86</v>
      </c>
      <c r="C66" s="233" t="s">
        <v>23</v>
      </c>
      <c r="D66" s="121">
        <f ca="1">OFFSET($A$4,MATCH($B$50,MerchType,0),11)</f>
        <v>0.1</v>
      </c>
      <c r="E66" s="108">
        <f t="shared" ca="1" si="9"/>
        <v>86</v>
      </c>
      <c r="F66" s="109">
        <f t="shared" ca="1" si="10"/>
        <v>95</v>
      </c>
    </row>
    <row r="67" spans="1:25" ht="14.25" thickTop="1" thickBot="1">
      <c r="B67" s="83">
        <f t="shared" ca="1" si="8"/>
        <v>96</v>
      </c>
      <c r="C67" s="233" t="s">
        <v>27</v>
      </c>
      <c r="D67" s="121">
        <f ca="1">OFFSET($A$4,MATCH($B$50,MerchType,0),12)</f>
        <v>0.04</v>
      </c>
      <c r="E67" s="108">
        <f t="shared" ca="1" si="9"/>
        <v>96</v>
      </c>
      <c r="F67" s="109">
        <f t="shared" ca="1" si="10"/>
        <v>99</v>
      </c>
    </row>
    <row r="68" spans="1:25" ht="14.25" thickTop="1" thickBot="1">
      <c r="B68" s="86">
        <f t="shared" ca="1" si="8"/>
        <v>100</v>
      </c>
      <c r="C68" s="233" t="s">
        <v>52</v>
      </c>
      <c r="D68" s="122">
        <f ca="1">OFFSET($A$4,MATCH($B$50,MerchType,0),13)</f>
        <v>0.01</v>
      </c>
      <c r="E68" s="123">
        <f t="shared" ca="1" si="9"/>
        <v>100</v>
      </c>
      <c r="F68" s="124">
        <f t="shared" ca="1" si="10"/>
        <v>100</v>
      </c>
    </row>
    <row r="69" spans="1:25" ht="13.5" thickTop="1">
      <c r="L69" s="43" t="s">
        <v>219</v>
      </c>
    </row>
    <row r="73" spans="1:25" ht="12.75">
      <c r="A73" s="125" t="s">
        <v>9</v>
      </c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7"/>
      <c r="P73" s="228" t="s">
        <v>14</v>
      </c>
      <c r="Q73" s="214"/>
      <c r="R73" s="214"/>
      <c r="S73" s="214"/>
      <c r="T73" s="214"/>
      <c r="U73" s="214"/>
      <c r="V73" s="214"/>
      <c r="W73" s="214"/>
      <c r="X73" s="214"/>
      <c r="Y73" s="215"/>
    </row>
    <row r="74" spans="1:25" ht="12.75">
      <c r="A74" s="128"/>
      <c r="B74" s="24" t="s">
        <v>220</v>
      </c>
      <c r="C74" s="24" t="s">
        <v>81</v>
      </c>
      <c r="D74" s="24" t="s">
        <v>221</v>
      </c>
      <c r="E74" s="24" t="s">
        <v>222</v>
      </c>
      <c r="F74" s="24" t="s">
        <v>223</v>
      </c>
      <c r="G74" s="24" t="s">
        <v>224</v>
      </c>
      <c r="H74" s="24" t="s">
        <v>84</v>
      </c>
      <c r="I74" s="24" t="s">
        <v>225</v>
      </c>
      <c r="J74" s="24" t="s">
        <v>226</v>
      </c>
      <c r="K74" s="24" t="s">
        <v>227</v>
      </c>
      <c r="L74" s="24" t="s">
        <v>215</v>
      </c>
      <c r="M74" s="24" t="s">
        <v>32</v>
      </c>
      <c r="N74" s="24" t="s">
        <v>33</v>
      </c>
      <c r="P74" s="24" t="s">
        <v>55</v>
      </c>
      <c r="Q74" s="24" t="s">
        <v>84</v>
      </c>
      <c r="R74" s="24" t="s">
        <v>56</v>
      </c>
      <c r="S74" s="24" t="s">
        <v>73</v>
      </c>
      <c r="T74" s="24" t="s">
        <v>57</v>
      </c>
      <c r="U74" s="24" t="s">
        <v>215</v>
      </c>
      <c r="V74" s="43" t="s">
        <v>228</v>
      </c>
      <c r="W74" s="24" t="s">
        <v>32</v>
      </c>
      <c r="X74" s="24" t="s">
        <v>58</v>
      </c>
      <c r="Y74" s="24" t="s">
        <v>33</v>
      </c>
    </row>
    <row r="75" spans="1:25" ht="12.75">
      <c r="A75" s="24" t="s">
        <v>229</v>
      </c>
      <c r="B75" s="129">
        <f ca="1">WealthMod*100+A77</f>
        <v>0</v>
      </c>
      <c r="C75" s="82"/>
      <c r="D75" s="60"/>
      <c r="E75" s="82"/>
      <c r="F75" s="82"/>
      <c r="G75" s="82"/>
      <c r="H75" s="82"/>
      <c r="I75" s="129">
        <f ca="1">WealthMod*100+A77</f>
        <v>0</v>
      </c>
      <c r="J75" s="82"/>
      <c r="K75" s="129">
        <f ca="1">WealthMod*100+A77</f>
        <v>0</v>
      </c>
      <c r="L75" s="82"/>
      <c r="M75" s="82"/>
      <c r="N75" s="82"/>
      <c r="P75" s="25" t="s">
        <v>230</v>
      </c>
      <c r="Q75" s="82"/>
      <c r="R75" s="82">
        <f ca="1">ROUND(WealthMod*MaterialCount,0)</f>
        <v>0</v>
      </c>
      <c r="S75" s="77"/>
      <c r="T75" s="77">
        <f ca="1">WealthMod*100</f>
        <v>0</v>
      </c>
      <c r="U75" s="77"/>
      <c r="V75" s="82"/>
      <c r="W75" s="82"/>
      <c r="X75" s="77"/>
      <c r="Y75" s="77"/>
    </row>
    <row r="76" spans="1:25" ht="12.75">
      <c r="A76" s="130" t="s">
        <v>231</v>
      </c>
      <c r="B76" s="131">
        <f t="shared" ref="B76:B100" ca="1" si="11">MAX(MIN(ROUND(RANDBETWEEN(1,100)+$B$75,0),100),1)</f>
        <v>86</v>
      </c>
      <c r="C76" s="132" t="str">
        <f t="array" aca="1" ref="C76:C100" ca="1">VLOOKUP(B76:B100,ProbR,2)</f>
        <v>Rare</v>
      </c>
      <c r="D76" s="91">
        <f t="shared" ref="D76:D100" ca="1" si="12">RANDBETWEEN(OFFSET(TypeRef,MATCH(C76,TypeRange,0)+1,1),OFFSET(TypeRef,MATCH(C76,TypeRange,0),1))</f>
        <v>27</v>
      </c>
      <c r="E76" s="133">
        <f t="array" aca="1" ref="E76:E100" ca="1">VLOOKUP(C76:C100,StoneV,3,FALSE)</f>
        <v>4</v>
      </c>
      <c r="F76" s="133">
        <f t="array" aca="1" ref="F76:F100" ca="1">IF(D76:D100&lt;D$26,C$25,IF(D76:D100&lt;D$27,C$26,IF(D76:D100&lt;D$28,C$27,IF(D76:D100&lt;D$29,C$28,IF(D76:D100&lt;D$30,C$29,C$30)))))</f>
        <v>4</v>
      </c>
      <c r="G76" s="133">
        <f t="array" aca="1" ref="G76:G100" ca="1">(E76:E100-F76:F100)*10</f>
        <v>0</v>
      </c>
      <c r="H76" s="133" t="str">
        <f t="array" aca="1" ref="H76" ca="1">OFFSET(TypeLast,1-D76,0)</f>
        <v>Garnet</v>
      </c>
      <c r="I76" s="131">
        <f t="shared" ref="I76:I100" ca="1" si="13">MAX(MIN(IF(RANDBETWEEN(0,1)=0,RANDBETWEEN(1,75)+RANDBETWEEN(1,75),(RANDBETWEEN(1,100)+RANDBETWEEN(0,100)))+$I$75+G76,200),1)</f>
        <v>81</v>
      </c>
      <c r="J76" s="134" t="str">
        <f t="array" aca="1" ref="J76:J100" ca="1">IF(I76:I100&lt;50,"Tiny",IF(I76:I100&lt;75,"Small",IF(I76:I100&lt;125,"Medium",IF(I76:I100&lt;150,"Large","Huge"))))</f>
        <v>Medium</v>
      </c>
      <c r="K76" s="135">
        <f t="shared" ref="K76:K100" ca="1" si="14">MAX(MIN(RANDBETWEEN(1,100)+K$75+G76,100),-10)</f>
        <v>85</v>
      </c>
      <c r="L76" s="132" t="str">
        <f t="array" aca="1" ref="L76:L100" ca="1">VLOOKUP(K76:K100,StoneQ,2,TRUE)</f>
        <v>Superior Grade</v>
      </c>
      <c r="M76" s="136" t="str">
        <f t="shared" ref="M76:M100" ca="1" si="15">CONCATENATE("Loose ",H76," (",J76," ",L76,")")</f>
        <v>Loose Garnet (Medium Superior Grade)</v>
      </c>
      <c r="N76" s="137">
        <f t="array" aca="1" ref="N76:N100" ca="1">VLOOKUP(C76:C100,StoneV,2,FALSE)*(I76:I100*0.01)*VLOOKUP(K76:K100,StoneQ,3,TRUE)</f>
        <v>607.5</v>
      </c>
      <c r="P76" s="46">
        <f t="shared" ref="P76:P100" ca="1" si="16">IF(RANDBETWEEN(1,2)=1,RANDBETWEEN(1,ItemCommonCount),IF(RANDBETWEEN(1,2)=1,(RANDBETWEEN(1,ItemUncommonCount)+ItemCommonCount),IF(RANDBETWEEN(1,2)=1,(RANDBETWEEN(1,ItemRareCount)+ItemCommonCount+ItemUncommonCount),(RANDBETWEEN(1,ItemUniqueCount)+ItemCommonCount+ItemUncommonCount+ItemRareCount))))</f>
        <v>1</v>
      </c>
      <c r="Q76" s="46" t="str">
        <f t="shared" ref="Q76:Q100" ca="1" si="17">OFFSET(ItemTypeRef,P76,0)</f>
        <v>Ring</v>
      </c>
      <c r="R76" s="82">
        <f t="shared" ref="R76:R100" ca="1" si="18">RANDBETWEEN(1,MaterialCount)+$R$75</f>
        <v>5</v>
      </c>
      <c r="S76" s="28" t="str">
        <f t="shared" ref="S76:S100" ca="1" si="19">IF(R76&lt;1,OFFSET(MaterialRef,1,0),IF(R76&lt;=MaterialCount,OFFSET(MaterialRef,R76,0),OFFSET(MaterialRef,MaterialCount,0)))</f>
        <v>Copper</v>
      </c>
      <c r="T76" s="82">
        <f t="shared" ref="T76:T100" ca="1" si="20">RANDBETWEEN(1,100)+$T$75</f>
        <v>84</v>
      </c>
      <c r="U76" s="46" t="str">
        <f t="shared" ref="U76:U100" ca="1" si="21">IF(T76&lt;OFFSET(ProbQ,1,3),OFFSET(ProbQ,1,0),(IF(T76&lt;OFFSET(ProbQ,2,3),OFFSET(ProbQ,2,0),IF(T76&lt;OFFSET(ProbQ,3,3),OFFSET(ProbQ,3,0),OFFSET(ProbQ,4,0)))))</f>
        <v>High</v>
      </c>
      <c r="V76" s="82" t="str">
        <f t="shared" ref="V76:V100" ca="1" si="22">OFFSET(CraftRef,RANDBETWEEN(1,CraftNum),MATCH($U76,CraftRange,0)-1)</f>
        <v>Splendid</v>
      </c>
      <c r="W76" s="28" t="str">
        <f t="shared" ref="W76:W100" ca="1" si="23">CONCATENATE(V76," ",S76," ",Q76)</f>
        <v>Splendid Copper Ring</v>
      </c>
      <c r="X76" s="28">
        <f t="shared" ref="X76:X100" ca="1" si="24">OFFSET(ItemTypeRef,MATCH(Q76,ItemTypeRange,0),1)</f>
        <v>1E-3</v>
      </c>
      <c r="Y76" s="138">
        <f t="shared" ref="Y76:Y100" ca="1" si="25">(X76*OFFSET(MaterialRef,MATCH($S76,MaterialRange,0),2)*OFFSET(MaterialRef,MATCH($S76,MaterialRange,0),1))+(OFFSET(MaterialRef,MATCH($S76,MaterialRange,0),3)*OFFSET(QRef,MATCH(U76,QRange,0),1)*OFFSET($P$15,$P76,2)/2)</f>
        <v>1.5005999999999999</v>
      </c>
    </row>
    <row r="77" spans="1:25" ht="12.75">
      <c r="A77" s="130">
        <v>0</v>
      </c>
      <c r="B77" s="139">
        <f t="shared" ca="1" si="11"/>
        <v>1</v>
      </c>
      <c r="C77" s="140" t="str">
        <f ca="1"/>
        <v>Very Common</v>
      </c>
      <c r="D77" s="93">
        <f t="shared" ca="1" si="12"/>
        <v>24</v>
      </c>
      <c r="E77" s="141">
        <f ca="1"/>
        <v>1</v>
      </c>
      <c r="F77" s="141">
        <f ca="1"/>
        <v>3</v>
      </c>
      <c r="G77" s="141">
        <f ca="1"/>
        <v>-20</v>
      </c>
      <c r="H77" s="141" t="str">
        <f t="array" aca="1" ref="H77" ca="1">OFFSET(TypeLast,1-D77,0)</f>
        <v>Coral</v>
      </c>
      <c r="I77" s="139">
        <f t="shared" ca="1" si="13"/>
        <v>145</v>
      </c>
      <c r="J77" s="142" t="str">
        <f ca="1"/>
        <v>Large</v>
      </c>
      <c r="K77" s="143">
        <f t="shared" ca="1" si="14"/>
        <v>4</v>
      </c>
      <c r="L77" s="140" t="str">
        <f ca="1"/>
        <v>Inferior Grade</v>
      </c>
      <c r="M77" s="144" t="str">
        <f t="shared" ca="1" si="15"/>
        <v>Loose Coral (Large Inferior Grade)</v>
      </c>
      <c r="N77" s="145">
        <f ca="1"/>
        <v>1.0874999999999999</v>
      </c>
      <c r="P77" s="68">
        <f t="shared" ca="1" si="16"/>
        <v>3</v>
      </c>
      <c r="Q77" s="68" t="str">
        <f t="shared" ca="1" si="17"/>
        <v>Pendant</v>
      </c>
      <c r="R77" s="83">
        <f t="shared" ca="1" si="18"/>
        <v>4</v>
      </c>
      <c r="S77" s="32" t="str">
        <f t="shared" ca="1" si="19"/>
        <v>Bronze</v>
      </c>
      <c r="T77" s="83">
        <f t="shared" ca="1" si="20"/>
        <v>13</v>
      </c>
      <c r="U77" s="68" t="str">
        <f t="shared" ca="1" si="21"/>
        <v>Average</v>
      </c>
      <c r="V77" s="83" t="str">
        <f t="shared" ca="1" si="22"/>
        <v>Unexceptional</v>
      </c>
      <c r="W77" s="32" t="str">
        <f t="shared" ca="1" si="23"/>
        <v>Unexceptional Bronze Pendant</v>
      </c>
      <c r="X77" s="32">
        <f t="shared" ca="1" si="24"/>
        <v>5.0000000000000001E-3</v>
      </c>
      <c r="Y77" s="146">
        <f t="shared" ca="1" si="25"/>
        <v>0.50239999999999996</v>
      </c>
    </row>
    <row r="78" spans="1:25" ht="12.75">
      <c r="A78" s="77"/>
      <c r="B78" s="139">
        <f t="shared" ca="1" si="11"/>
        <v>74</v>
      </c>
      <c r="C78" s="140" t="str">
        <f ca="1"/>
        <v>Uncommon</v>
      </c>
      <c r="D78" s="93">
        <f t="shared" ca="1" si="12"/>
        <v>25</v>
      </c>
      <c r="E78" s="141">
        <f ca="1"/>
        <v>3</v>
      </c>
      <c r="F78" s="141">
        <f ca="1"/>
        <v>3</v>
      </c>
      <c r="G78" s="141">
        <f ca="1"/>
        <v>0</v>
      </c>
      <c r="H78" s="141" t="str">
        <f t="array" aca="1" ref="H78" ca="1">OFFSET(TypeLast,1-D78,0)</f>
        <v>Jet</v>
      </c>
      <c r="I78" s="139">
        <f t="shared" ca="1" si="13"/>
        <v>95</v>
      </c>
      <c r="J78" s="142" t="str">
        <f ca="1"/>
        <v>Medium</v>
      </c>
      <c r="K78" s="143">
        <f t="shared" ca="1" si="14"/>
        <v>34</v>
      </c>
      <c r="L78" s="140" t="str">
        <f ca="1"/>
        <v>Standard Grade</v>
      </c>
      <c r="M78" s="144" t="str">
        <f t="shared" ca="1" si="15"/>
        <v>Loose Jet (Medium Standard Grade)</v>
      </c>
      <c r="N78" s="145">
        <f ca="1"/>
        <v>95</v>
      </c>
      <c r="P78" s="68">
        <f t="shared" ca="1" si="16"/>
        <v>3</v>
      </c>
      <c r="Q78" s="68" t="str">
        <f t="shared" ca="1" si="17"/>
        <v>Pendant</v>
      </c>
      <c r="R78" s="83">
        <f t="shared" ca="1" si="18"/>
        <v>1</v>
      </c>
      <c r="S78" s="32" t="str">
        <f t="shared" ca="1" si="19"/>
        <v>Wood/Leather</v>
      </c>
      <c r="T78" s="83">
        <f t="shared" ca="1" si="20"/>
        <v>18</v>
      </c>
      <c r="U78" s="68" t="str">
        <f t="shared" ca="1" si="21"/>
        <v>Average</v>
      </c>
      <c r="V78" s="83" t="str">
        <f t="shared" ca="1" si="22"/>
        <v>Fair</v>
      </c>
      <c r="W78" s="32" t="str">
        <f t="shared" ca="1" si="23"/>
        <v>Fair Wood/Leather Pendant</v>
      </c>
      <c r="X78" s="32">
        <f t="shared" ca="1" si="24"/>
        <v>5.0000000000000001E-3</v>
      </c>
      <c r="Y78" s="146">
        <f t="shared" ca="1" si="25"/>
        <v>1.0009999999999999</v>
      </c>
    </row>
    <row r="79" spans="1:25" ht="12.75">
      <c r="A79" s="147"/>
      <c r="B79" s="139">
        <f t="shared" ca="1" si="11"/>
        <v>62</v>
      </c>
      <c r="C79" s="140" t="str">
        <f ca="1"/>
        <v>Uncommon</v>
      </c>
      <c r="D79" s="93">
        <f t="shared" ca="1" si="12"/>
        <v>34</v>
      </c>
      <c r="E79" s="141">
        <f ca="1"/>
        <v>3</v>
      </c>
      <c r="F79" s="141">
        <f ca="1"/>
        <v>5</v>
      </c>
      <c r="G79" s="141">
        <f ca="1"/>
        <v>-20</v>
      </c>
      <c r="H79" s="141" t="str">
        <f t="array" aca="1" ref="H79" ca="1">OFFSET(TypeLast,1-D79,0)</f>
        <v>Emerald</v>
      </c>
      <c r="I79" s="139">
        <f t="shared" ca="1" si="13"/>
        <v>41</v>
      </c>
      <c r="J79" s="142" t="str">
        <f ca="1"/>
        <v>Tiny</v>
      </c>
      <c r="K79" s="143">
        <f t="shared" ca="1" si="14"/>
        <v>12</v>
      </c>
      <c r="L79" s="140" t="str">
        <f ca="1"/>
        <v>Inferior Grade</v>
      </c>
      <c r="M79" s="144" t="str">
        <f t="shared" ca="1" si="15"/>
        <v>Loose Emerald (Tiny Inferior Grade)</v>
      </c>
      <c r="N79" s="145">
        <f ca="1"/>
        <v>30.75</v>
      </c>
      <c r="P79" s="68">
        <f t="shared" ca="1" si="16"/>
        <v>18</v>
      </c>
      <c r="Q79" s="68" t="str">
        <f t="shared" ca="1" si="17"/>
        <v>Tankard</v>
      </c>
      <c r="R79" s="83">
        <f t="shared" ca="1" si="18"/>
        <v>7</v>
      </c>
      <c r="S79" s="32" t="str">
        <f t="shared" ca="1" si="19"/>
        <v>Electrum</v>
      </c>
      <c r="T79" s="83">
        <f t="shared" ca="1" si="20"/>
        <v>16</v>
      </c>
      <c r="U79" s="68" t="str">
        <f t="shared" ca="1" si="21"/>
        <v>Average</v>
      </c>
      <c r="V79" s="83" t="str">
        <f t="shared" ca="1" si="22"/>
        <v>Ordinary</v>
      </c>
      <c r="W79" s="32" t="str">
        <f t="shared" ca="1" si="23"/>
        <v>Ordinary Electrum Tankard</v>
      </c>
      <c r="X79" s="32">
        <f t="shared" ca="1" si="24"/>
        <v>1</v>
      </c>
      <c r="Y79" s="146">
        <f t="shared" ca="1" si="25"/>
        <v>30.75</v>
      </c>
    </row>
    <row r="80" spans="1:25" ht="12.75">
      <c r="A80" s="141"/>
      <c r="B80" s="139">
        <f t="shared" ca="1" si="11"/>
        <v>53</v>
      </c>
      <c r="C80" s="140" t="str">
        <f ca="1"/>
        <v>Common</v>
      </c>
      <c r="D80" s="93">
        <f t="shared" ca="1" si="12"/>
        <v>12</v>
      </c>
      <c r="E80" s="141">
        <f ca="1"/>
        <v>2</v>
      </c>
      <c r="F80" s="141">
        <f ca="1"/>
        <v>2</v>
      </c>
      <c r="G80" s="141">
        <f ca="1"/>
        <v>0</v>
      </c>
      <c r="H80" s="141" t="str">
        <f t="array" aca="1" ref="H80" ca="1">OFFSET(TypeLast,1-D80,0)</f>
        <v>Hematite</v>
      </c>
      <c r="I80" s="139">
        <f t="shared" ca="1" si="13"/>
        <v>142</v>
      </c>
      <c r="J80" s="142" t="str">
        <f ca="1"/>
        <v>Large</v>
      </c>
      <c r="K80" s="143">
        <f t="shared" ca="1" si="14"/>
        <v>26</v>
      </c>
      <c r="L80" s="140" t="str">
        <f ca="1"/>
        <v>Standard Grade</v>
      </c>
      <c r="M80" s="144" t="str">
        <f t="shared" ca="1" si="15"/>
        <v>Loose Hematite (Large Standard Grade)</v>
      </c>
      <c r="N80" s="145">
        <f ca="1"/>
        <v>14.2</v>
      </c>
      <c r="P80" s="68">
        <f t="shared" ca="1" si="16"/>
        <v>18</v>
      </c>
      <c r="Q80" s="68" t="str">
        <f t="shared" ca="1" si="17"/>
        <v>Tankard</v>
      </c>
      <c r="R80" s="83">
        <f t="shared" ca="1" si="18"/>
        <v>4</v>
      </c>
      <c r="S80" s="32" t="str">
        <f t="shared" ca="1" si="19"/>
        <v>Bronze</v>
      </c>
      <c r="T80" s="83">
        <f t="shared" ca="1" si="20"/>
        <v>77</v>
      </c>
      <c r="U80" s="68" t="str">
        <f t="shared" ca="1" si="21"/>
        <v>High</v>
      </c>
      <c r="V80" s="83" t="str">
        <f t="shared" ca="1" si="22"/>
        <v>Splendid</v>
      </c>
      <c r="W80" s="32" t="str">
        <f t="shared" ca="1" si="23"/>
        <v>Splendid Bronze Tankard</v>
      </c>
      <c r="X80" s="32">
        <f t="shared" ca="1" si="24"/>
        <v>1</v>
      </c>
      <c r="Y80" s="146">
        <f t="shared" ca="1" si="25"/>
        <v>2.73</v>
      </c>
    </row>
    <row r="81" spans="1:25" ht="12.75">
      <c r="A81" s="147"/>
      <c r="B81" s="139">
        <f t="shared" ca="1" si="11"/>
        <v>89</v>
      </c>
      <c r="C81" s="140" t="str">
        <f ca="1"/>
        <v>Rare</v>
      </c>
      <c r="D81" s="93">
        <f t="shared" ca="1" si="12"/>
        <v>37</v>
      </c>
      <c r="E81" s="141">
        <f ca="1"/>
        <v>4</v>
      </c>
      <c r="F81" s="141">
        <f ca="1"/>
        <v>5</v>
      </c>
      <c r="G81" s="141">
        <f ca="1"/>
        <v>-10</v>
      </c>
      <c r="H81" s="141" t="str">
        <f t="array" aca="1" ref="H81" ca="1">OFFSET(TypeLast,1-D81,0)</f>
        <v>Ruby</v>
      </c>
      <c r="I81" s="139">
        <f t="shared" ca="1" si="13"/>
        <v>133</v>
      </c>
      <c r="J81" s="142" t="str">
        <f ca="1"/>
        <v>Large</v>
      </c>
      <c r="K81" s="143">
        <f t="shared" ca="1" si="14"/>
        <v>-6</v>
      </c>
      <c r="L81" s="140" t="str">
        <f ca="1"/>
        <v>Raw</v>
      </c>
      <c r="M81" s="144" t="str">
        <f t="shared" ca="1" si="15"/>
        <v>Loose Ruby (Large Raw)</v>
      </c>
      <c r="N81" s="145">
        <f ca="1"/>
        <v>332.5</v>
      </c>
      <c r="P81" s="68">
        <f t="shared" ca="1" si="16"/>
        <v>7</v>
      </c>
      <c r="Q81" s="68" t="str">
        <f t="shared" ca="1" si="17"/>
        <v>Serving Tray</v>
      </c>
      <c r="R81" s="83">
        <f t="shared" ca="1" si="18"/>
        <v>7</v>
      </c>
      <c r="S81" s="32" t="str">
        <f t="shared" ca="1" si="19"/>
        <v>Electrum</v>
      </c>
      <c r="T81" s="83">
        <f t="shared" ca="1" si="20"/>
        <v>42</v>
      </c>
      <c r="U81" s="68" t="str">
        <f t="shared" ca="1" si="21"/>
        <v>Average</v>
      </c>
      <c r="V81" s="83" t="str">
        <f t="shared" ca="1" si="22"/>
        <v>Mediocre</v>
      </c>
      <c r="W81" s="32" t="str">
        <f t="shared" ca="1" si="23"/>
        <v>Mediocre Electrum Serving Tray</v>
      </c>
      <c r="X81" s="32">
        <f t="shared" ca="1" si="24"/>
        <v>2</v>
      </c>
      <c r="Y81" s="146">
        <f t="shared" ca="1" si="25"/>
        <v>60.75</v>
      </c>
    </row>
    <row r="82" spans="1:25" ht="12.75">
      <c r="A82" s="141"/>
      <c r="B82" s="139">
        <f t="shared" ca="1" si="11"/>
        <v>32</v>
      </c>
      <c r="C82" s="140" t="str">
        <f ca="1"/>
        <v>Common</v>
      </c>
      <c r="D82" s="93">
        <f t="shared" ca="1" si="12"/>
        <v>34</v>
      </c>
      <c r="E82" s="141">
        <f ca="1"/>
        <v>2</v>
      </c>
      <c r="F82" s="141">
        <f ca="1"/>
        <v>5</v>
      </c>
      <c r="G82" s="141">
        <f ca="1"/>
        <v>-30</v>
      </c>
      <c r="H82" s="141" t="str">
        <f t="array" aca="1" ref="H82" ca="1">OFFSET(TypeLast,1-D82,0)</f>
        <v>Emerald</v>
      </c>
      <c r="I82" s="139">
        <f t="shared" ca="1" si="13"/>
        <v>80</v>
      </c>
      <c r="J82" s="142" t="str">
        <f ca="1"/>
        <v>Medium</v>
      </c>
      <c r="K82" s="143">
        <f t="shared" ca="1" si="14"/>
        <v>58</v>
      </c>
      <c r="L82" s="140" t="str">
        <f ca="1"/>
        <v>Standard Grade</v>
      </c>
      <c r="M82" s="144" t="str">
        <f t="shared" ca="1" si="15"/>
        <v>Loose Emerald (Medium Standard Grade)</v>
      </c>
      <c r="N82" s="145">
        <f ca="1"/>
        <v>8</v>
      </c>
      <c r="P82" s="68">
        <f t="shared" ca="1" si="16"/>
        <v>1</v>
      </c>
      <c r="Q82" s="68" t="str">
        <f t="shared" ca="1" si="17"/>
        <v>Ring</v>
      </c>
      <c r="R82" s="83">
        <f t="shared" ca="1" si="18"/>
        <v>8</v>
      </c>
      <c r="S82" s="32" t="str">
        <f t="shared" ca="1" si="19"/>
        <v>Gold</v>
      </c>
      <c r="T82" s="83">
        <f t="shared" ca="1" si="20"/>
        <v>51</v>
      </c>
      <c r="U82" s="68" t="str">
        <f t="shared" ca="1" si="21"/>
        <v>Average</v>
      </c>
      <c r="V82" s="83" t="str">
        <f t="shared" ca="1" si="22"/>
        <v>Fair</v>
      </c>
      <c r="W82" s="32" t="str">
        <f t="shared" ca="1" si="23"/>
        <v>Fair Gold Ring</v>
      </c>
      <c r="X82" s="32">
        <f t="shared" ca="1" si="24"/>
        <v>1E-3</v>
      </c>
      <c r="Y82" s="146">
        <f t="shared" ca="1" si="25"/>
        <v>1.06</v>
      </c>
    </row>
    <row r="83" spans="1:25" ht="12.75">
      <c r="A83" s="141"/>
      <c r="B83" s="139">
        <f t="shared" ca="1" si="11"/>
        <v>19</v>
      </c>
      <c r="C83" s="140" t="str">
        <f ca="1"/>
        <v>Very Common</v>
      </c>
      <c r="D83" s="93">
        <f t="shared" ca="1" si="12"/>
        <v>20</v>
      </c>
      <c r="E83" s="141">
        <f ca="1"/>
        <v>1</v>
      </c>
      <c r="F83" s="141">
        <f ca="1"/>
        <v>3</v>
      </c>
      <c r="G83" s="141">
        <f ca="1"/>
        <v>-20</v>
      </c>
      <c r="H83" s="141" t="str">
        <f t="array" aca="1" ref="H83" ca="1">OFFSET(TypeLast,1-D83,0)</f>
        <v>Turquoise</v>
      </c>
      <c r="I83" s="139">
        <f t="shared" ca="1" si="13"/>
        <v>95</v>
      </c>
      <c r="J83" s="142" t="str">
        <f ca="1"/>
        <v>Medium</v>
      </c>
      <c r="K83" s="143">
        <f t="shared" ca="1" si="14"/>
        <v>-4</v>
      </c>
      <c r="L83" s="140" t="str">
        <f ca="1"/>
        <v>Raw</v>
      </c>
      <c r="M83" s="144" t="str">
        <f t="shared" ca="1" si="15"/>
        <v>Loose Turquoise (Medium Raw)</v>
      </c>
      <c r="N83" s="145">
        <f ca="1"/>
        <v>0.47500000000000003</v>
      </c>
      <c r="P83" s="68">
        <f t="shared" ca="1" si="16"/>
        <v>3</v>
      </c>
      <c r="Q83" s="68" t="str">
        <f t="shared" ca="1" si="17"/>
        <v>Pendant</v>
      </c>
      <c r="R83" s="83">
        <f t="shared" ca="1" si="18"/>
        <v>4</v>
      </c>
      <c r="S83" s="32" t="str">
        <f t="shared" ca="1" si="19"/>
        <v>Bronze</v>
      </c>
      <c r="T83" s="83">
        <f t="shared" ca="1" si="20"/>
        <v>72</v>
      </c>
      <c r="U83" s="68" t="str">
        <f t="shared" ca="1" si="21"/>
        <v>High</v>
      </c>
      <c r="V83" s="83" t="str">
        <f t="shared" ca="1" si="22"/>
        <v>Elegant</v>
      </c>
      <c r="W83" s="32" t="str">
        <f t="shared" ca="1" si="23"/>
        <v>Elegant Bronze Pendant</v>
      </c>
      <c r="X83" s="32">
        <f t="shared" ca="1" si="24"/>
        <v>5.0000000000000001E-3</v>
      </c>
      <c r="Y83" s="146">
        <f t="shared" ca="1" si="25"/>
        <v>1.5024</v>
      </c>
    </row>
    <row r="84" spans="1:25" ht="12.75">
      <c r="A84" s="141"/>
      <c r="B84" s="139">
        <f t="shared" ca="1" si="11"/>
        <v>4</v>
      </c>
      <c r="C84" s="140" t="str">
        <f ca="1"/>
        <v>Very Common</v>
      </c>
      <c r="D84" s="93">
        <f t="shared" ca="1" si="12"/>
        <v>18</v>
      </c>
      <c r="E84" s="141">
        <f ca="1"/>
        <v>1</v>
      </c>
      <c r="F84" s="141">
        <f ca="1"/>
        <v>2</v>
      </c>
      <c r="G84" s="141">
        <f ca="1"/>
        <v>-10</v>
      </c>
      <c r="H84" s="141" t="str">
        <f t="array" aca="1" ref="H84" ca="1">OFFSET(TypeLast,1-D84,0)</f>
        <v>Bloodstone</v>
      </c>
      <c r="I84" s="139">
        <f t="shared" ca="1" si="13"/>
        <v>82</v>
      </c>
      <c r="J84" s="142" t="str">
        <f ca="1"/>
        <v>Medium</v>
      </c>
      <c r="K84" s="143">
        <f t="shared" ca="1" si="14"/>
        <v>14</v>
      </c>
      <c r="L84" s="140" t="str">
        <f ca="1"/>
        <v>Inferior Grade</v>
      </c>
      <c r="M84" s="144" t="str">
        <f t="shared" ca="1" si="15"/>
        <v>Loose Bloodstone (Medium Inferior Grade)</v>
      </c>
      <c r="N84" s="145">
        <f ca="1"/>
        <v>0.61499999999999999</v>
      </c>
      <c r="P84" s="68">
        <f t="shared" ca="1" si="16"/>
        <v>23</v>
      </c>
      <c r="Q84" s="68" t="str">
        <f t="shared" ca="1" si="17"/>
        <v>Figurine</v>
      </c>
      <c r="R84" s="83">
        <f t="shared" ca="1" si="18"/>
        <v>4</v>
      </c>
      <c r="S84" s="32" t="str">
        <f t="shared" ca="1" si="19"/>
        <v>Bronze</v>
      </c>
      <c r="T84" s="83">
        <f t="shared" ca="1" si="20"/>
        <v>84</v>
      </c>
      <c r="U84" s="68" t="str">
        <f t="shared" ca="1" si="21"/>
        <v>High</v>
      </c>
      <c r="V84" s="83" t="str">
        <f t="shared" ca="1" si="22"/>
        <v>Fine</v>
      </c>
      <c r="W84" s="32" t="str">
        <f t="shared" ca="1" si="23"/>
        <v>Fine Bronze Figurine</v>
      </c>
      <c r="X84" s="32">
        <f t="shared" ca="1" si="24"/>
        <v>0.25</v>
      </c>
      <c r="Y84" s="146">
        <f t="shared" ca="1" si="25"/>
        <v>3.12</v>
      </c>
    </row>
    <row r="85" spans="1:25" ht="12.75">
      <c r="A85" s="141"/>
      <c r="B85" s="139">
        <f t="shared" ca="1" si="11"/>
        <v>12</v>
      </c>
      <c r="C85" s="140" t="str">
        <f ca="1"/>
        <v>Very Common</v>
      </c>
      <c r="D85" s="93">
        <f t="shared" ca="1" si="12"/>
        <v>22</v>
      </c>
      <c r="E85" s="141">
        <f ca="1"/>
        <v>1</v>
      </c>
      <c r="F85" s="141">
        <f ca="1"/>
        <v>3</v>
      </c>
      <c r="G85" s="141">
        <f ca="1"/>
        <v>-20</v>
      </c>
      <c r="H85" s="141" t="str">
        <f t="array" aca="1" ref="H85" ca="1">OFFSET(TypeLast,1-D85,0)</f>
        <v>Obsidian</v>
      </c>
      <c r="I85" s="139">
        <f t="shared" ca="1" si="13"/>
        <v>145</v>
      </c>
      <c r="J85" s="142" t="str">
        <f ca="1"/>
        <v>Large</v>
      </c>
      <c r="K85" s="143">
        <f t="shared" ca="1" si="14"/>
        <v>9</v>
      </c>
      <c r="L85" s="140" t="str">
        <f ca="1"/>
        <v>Inferior Grade</v>
      </c>
      <c r="M85" s="144" t="str">
        <f t="shared" ca="1" si="15"/>
        <v>Loose Obsidian (Large Inferior Grade)</v>
      </c>
      <c r="N85" s="145">
        <f ca="1"/>
        <v>1.0874999999999999</v>
      </c>
      <c r="P85" s="68">
        <f t="shared" ca="1" si="16"/>
        <v>12</v>
      </c>
      <c r="Q85" s="68" t="str">
        <f t="shared" ca="1" si="17"/>
        <v>Bowl (Small)</v>
      </c>
      <c r="R85" s="83">
        <f t="shared" ca="1" si="18"/>
        <v>9</v>
      </c>
      <c r="S85" s="32" t="str">
        <f t="shared" ca="1" si="19"/>
        <v>Platinum</v>
      </c>
      <c r="T85" s="83">
        <f t="shared" ca="1" si="20"/>
        <v>62</v>
      </c>
      <c r="U85" s="68" t="str">
        <f t="shared" ca="1" si="21"/>
        <v>Average</v>
      </c>
      <c r="V85" s="83" t="str">
        <f t="shared" ca="1" si="22"/>
        <v>Ordinary</v>
      </c>
      <c r="W85" s="32" t="str">
        <f t="shared" ca="1" si="23"/>
        <v>Ordinary Platinum Bowl (Small)</v>
      </c>
      <c r="X85" s="32">
        <f t="shared" ca="1" si="24"/>
        <v>1</v>
      </c>
      <c r="Y85" s="146">
        <f t="shared" ca="1" si="25"/>
        <v>751.5</v>
      </c>
    </row>
    <row r="86" spans="1:25" ht="12.75">
      <c r="A86" s="141"/>
      <c r="B86" s="139">
        <f t="shared" ca="1" si="11"/>
        <v>39</v>
      </c>
      <c r="C86" s="140" t="str">
        <f ca="1"/>
        <v>Common</v>
      </c>
      <c r="D86" s="93">
        <f t="shared" ca="1" si="12"/>
        <v>17</v>
      </c>
      <c r="E86" s="141">
        <f ca="1"/>
        <v>2</v>
      </c>
      <c r="F86" s="141">
        <f ca="1"/>
        <v>2</v>
      </c>
      <c r="G86" s="141">
        <f ca="1"/>
        <v>0</v>
      </c>
      <c r="H86" s="141" t="str">
        <f t="array" aca="1" ref="H86" ca="1">OFFSET(TypeLast,1-D86,0)</f>
        <v>Moonstone</v>
      </c>
      <c r="I86" s="139">
        <f t="shared" ca="1" si="13"/>
        <v>23</v>
      </c>
      <c r="J86" s="142" t="str">
        <f ca="1"/>
        <v>Tiny</v>
      </c>
      <c r="K86" s="143">
        <f t="shared" ca="1" si="14"/>
        <v>2</v>
      </c>
      <c r="L86" s="140" t="str">
        <f ca="1"/>
        <v>Inferior Grade</v>
      </c>
      <c r="M86" s="144" t="str">
        <f t="shared" ca="1" si="15"/>
        <v>Loose Moonstone (Tiny Inferior Grade)</v>
      </c>
      <c r="N86" s="145">
        <f ca="1"/>
        <v>1.7250000000000001</v>
      </c>
      <c r="P86" s="68">
        <f t="shared" ca="1" si="16"/>
        <v>10</v>
      </c>
      <c r="Q86" s="68" t="str">
        <f t="shared" ca="1" si="17"/>
        <v>Carving Knife</v>
      </c>
      <c r="R86" s="83">
        <f t="shared" ca="1" si="18"/>
        <v>8</v>
      </c>
      <c r="S86" s="32" t="str">
        <f t="shared" ca="1" si="19"/>
        <v>Gold</v>
      </c>
      <c r="T86" s="83">
        <f t="shared" ca="1" si="20"/>
        <v>95</v>
      </c>
      <c r="U86" s="68" t="str">
        <f t="shared" ca="1" si="21"/>
        <v>Masterwork</v>
      </c>
      <c r="V86" s="83" t="str">
        <f t="shared" ca="1" si="22"/>
        <v>Magnificient</v>
      </c>
      <c r="W86" s="32" t="str">
        <f t="shared" ca="1" si="23"/>
        <v>Magnificient Gold Carving Knife</v>
      </c>
      <c r="X86" s="32">
        <f t="shared" ca="1" si="24"/>
        <v>0.5</v>
      </c>
      <c r="Y86" s="146">
        <f t="shared" ca="1" si="25"/>
        <v>34.5</v>
      </c>
    </row>
    <row r="87" spans="1:25" ht="12.75">
      <c r="A87" s="141"/>
      <c r="B87" s="139">
        <f t="shared" ca="1" si="11"/>
        <v>78</v>
      </c>
      <c r="C87" s="140" t="str">
        <f ca="1"/>
        <v>Uncommon</v>
      </c>
      <c r="D87" s="93">
        <f t="shared" ca="1" si="12"/>
        <v>28</v>
      </c>
      <c r="E87" s="141">
        <f ca="1"/>
        <v>3</v>
      </c>
      <c r="F87" s="141">
        <f ca="1"/>
        <v>4</v>
      </c>
      <c r="G87" s="141">
        <f ca="1"/>
        <v>-10</v>
      </c>
      <c r="H87" s="141" t="str">
        <f t="array" aca="1" ref="H87" ca="1">OFFSET(TypeLast,1-D87,0)</f>
        <v>Pearl</v>
      </c>
      <c r="I87" s="139">
        <f t="shared" ca="1" si="13"/>
        <v>26</v>
      </c>
      <c r="J87" s="142" t="str">
        <f ca="1"/>
        <v>Tiny</v>
      </c>
      <c r="K87" s="143">
        <f t="shared" ca="1" si="14"/>
        <v>30</v>
      </c>
      <c r="L87" s="140" t="str">
        <f ca="1"/>
        <v>Standard Grade</v>
      </c>
      <c r="M87" s="144" t="str">
        <f t="shared" ca="1" si="15"/>
        <v>Loose Pearl (Tiny Standard Grade)</v>
      </c>
      <c r="N87" s="145">
        <f ca="1"/>
        <v>26</v>
      </c>
      <c r="P87" s="68">
        <f t="shared" ca="1" si="16"/>
        <v>20</v>
      </c>
      <c r="Q87" s="68" t="str">
        <f t="shared" ca="1" si="17"/>
        <v>Bowl</v>
      </c>
      <c r="R87" s="83">
        <f t="shared" ca="1" si="18"/>
        <v>7</v>
      </c>
      <c r="S87" s="32" t="str">
        <f t="shared" ca="1" si="19"/>
        <v>Electrum</v>
      </c>
      <c r="T87" s="83">
        <f t="shared" ca="1" si="20"/>
        <v>82</v>
      </c>
      <c r="U87" s="68" t="str">
        <f t="shared" ca="1" si="21"/>
        <v>High</v>
      </c>
      <c r="V87" s="83" t="str">
        <f t="shared" ca="1" si="22"/>
        <v>Fashionable</v>
      </c>
      <c r="W87" s="32" t="str">
        <f t="shared" ca="1" si="23"/>
        <v>Fashionable Electrum Bowl</v>
      </c>
      <c r="X87" s="32">
        <f t="shared" ca="1" si="24"/>
        <v>1.5</v>
      </c>
      <c r="Y87" s="146">
        <f t="shared" ca="1" si="25"/>
        <v>50.999999999999993</v>
      </c>
    </row>
    <row r="88" spans="1:25" ht="12.75">
      <c r="A88" s="141"/>
      <c r="B88" s="139">
        <f t="shared" ca="1" si="11"/>
        <v>18</v>
      </c>
      <c r="C88" s="140" t="str">
        <f ca="1"/>
        <v>Very Common</v>
      </c>
      <c r="D88" s="93">
        <f t="shared" ca="1" si="12"/>
        <v>5</v>
      </c>
      <c r="E88" s="141">
        <f ca="1"/>
        <v>1</v>
      </c>
      <c r="F88" s="141">
        <f ca="1"/>
        <v>1</v>
      </c>
      <c r="G88" s="141">
        <f ca="1"/>
        <v>0</v>
      </c>
      <c r="H88" s="141" t="str">
        <f t="array" aca="1" ref="H88" ca="1">OFFSET(TypeLast,1-D88,0)</f>
        <v>Sardonyx</v>
      </c>
      <c r="I88" s="139">
        <f t="shared" ca="1" si="13"/>
        <v>65</v>
      </c>
      <c r="J88" s="142" t="str">
        <f ca="1"/>
        <v>Small</v>
      </c>
      <c r="K88" s="143">
        <f t="shared" ca="1" si="14"/>
        <v>36</v>
      </c>
      <c r="L88" s="140" t="str">
        <f ca="1"/>
        <v>Standard Grade</v>
      </c>
      <c r="M88" s="144" t="str">
        <f t="shared" ca="1" si="15"/>
        <v>Loose Sardonyx (Small Standard Grade)</v>
      </c>
      <c r="N88" s="145">
        <f ca="1"/>
        <v>0.65</v>
      </c>
      <c r="P88" s="68">
        <f t="shared" ca="1" si="16"/>
        <v>1</v>
      </c>
      <c r="Q88" s="68" t="str">
        <f t="shared" ca="1" si="17"/>
        <v>Ring</v>
      </c>
      <c r="R88" s="83">
        <f t="shared" ca="1" si="18"/>
        <v>9</v>
      </c>
      <c r="S88" s="32" t="str">
        <f t="shared" ca="1" si="19"/>
        <v>Platinum</v>
      </c>
      <c r="T88" s="83">
        <f t="shared" ca="1" si="20"/>
        <v>65</v>
      </c>
      <c r="U88" s="68" t="str">
        <f t="shared" ca="1" si="21"/>
        <v>High</v>
      </c>
      <c r="V88" s="83" t="str">
        <f t="shared" ca="1" si="22"/>
        <v>Fine</v>
      </c>
      <c r="W88" s="32" t="str">
        <f t="shared" ca="1" si="23"/>
        <v>Fine Platinum Ring</v>
      </c>
      <c r="X88" s="32">
        <f t="shared" ca="1" si="24"/>
        <v>1E-3</v>
      </c>
      <c r="Y88" s="146">
        <f t="shared" ca="1" si="25"/>
        <v>6.75</v>
      </c>
    </row>
    <row r="89" spans="1:25" ht="12.75">
      <c r="A89" s="141"/>
      <c r="B89" s="139">
        <f t="shared" ca="1" si="11"/>
        <v>86</v>
      </c>
      <c r="C89" s="140" t="str">
        <f ca="1"/>
        <v>Rare</v>
      </c>
      <c r="D89" s="93">
        <f t="shared" ca="1" si="12"/>
        <v>37</v>
      </c>
      <c r="E89" s="141">
        <f ca="1"/>
        <v>4</v>
      </c>
      <c r="F89" s="141">
        <f ca="1"/>
        <v>5</v>
      </c>
      <c r="G89" s="141">
        <f ca="1"/>
        <v>-10</v>
      </c>
      <c r="H89" s="141" t="str">
        <f t="array" aca="1" ref="H89" ca="1">OFFSET(TypeLast,1-D89,0)</f>
        <v>Ruby</v>
      </c>
      <c r="I89" s="139">
        <f t="shared" ca="1" si="13"/>
        <v>132</v>
      </c>
      <c r="J89" s="142" t="str">
        <f ca="1"/>
        <v>Large</v>
      </c>
      <c r="K89" s="143">
        <f t="shared" ca="1" si="14"/>
        <v>6</v>
      </c>
      <c r="L89" s="140" t="str">
        <f ca="1"/>
        <v>Inferior Grade</v>
      </c>
      <c r="M89" s="144" t="str">
        <f t="shared" ca="1" si="15"/>
        <v>Loose Ruby (Large Inferior Grade)</v>
      </c>
      <c r="N89" s="145">
        <f ca="1"/>
        <v>495</v>
      </c>
      <c r="P89" s="68">
        <f t="shared" ca="1" si="16"/>
        <v>19</v>
      </c>
      <c r="Q89" s="68" t="str">
        <f t="shared" ca="1" si="17"/>
        <v>Flask</v>
      </c>
      <c r="R89" s="83">
        <f t="shared" ca="1" si="18"/>
        <v>7</v>
      </c>
      <c r="S89" s="32" t="str">
        <f t="shared" ca="1" si="19"/>
        <v>Electrum</v>
      </c>
      <c r="T89" s="83">
        <f t="shared" ca="1" si="20"/>
        <v>41</v>
      </c>
      <c r="U89" s="68" t="str">
        <f t="shared" ca="1" si="21"/>
        <v>Average</v>
      </c>
      <c r="V89" s="83" t="str">
        <f t="shared" ca="1" si="22"/>
        <v>Ordinary</v>
      </c>
      <c r="W89" s="32" t="str">
        <f t="shared" ca="1" si="23"/>
        <v>Ordinary Electrum Flask</v>
      </c>
      <c r="X89" s="32">
        <f t="shared" ca="1" si="24"/>
        <v>0.5</v>
      </c>
      <c r="Y89" s="146">
        <f t="shared" ca="1" si="25"/>
        <v>15.75</v>
      </c>
    </row>
    <row r="90" spans="1:25" ht="12.75">
      <c r="A90" s="141"/>
      <c r="B90" s="139">
        <f t="shared" ca="1" si="11"/>
        <v>73</v>
      </c>
      <c r="C90" s="140" t="str">
        <f ca="1"/>
        <v>Uncommon</v>
      </c>
      <c r="D90" s="93">
        <f t="shared" ca="1" si="12"/>
        <v>22</v>
      </c>
      <c r="E90" s="141">
        <f ca="1"/>
        <v>3</v>
      </c>
      <c r="F90" s="141">
        <f ca="1"/>
        <v>3</v>
      </c>
      <c r="G90" s="141">
        <f ca="1"/>
        <v>0</v>
      </c>
      <c r="H90" s="141" t="str">
        <f t="array" aca="1" ref="H90" ca="1">OFFSET(TypeLast,1-D90,0)</f>
        <v>Obsidian</v>
      </c>
      <c r="I90" s="139">
        <f t="shared" ca="1" si="13"/>
        <v>96</v>
      </c>
      <c r="J90" s="142" t="str">
        <f ca="1"/>
        <v>Medium</v>
      </c>
      <c r="K90" s="143">
        <f t="shared" ca="1" si="14"/>
        <v>85</v>
      </c>
      <c r="L90" s="140" t="str">
        <f ca="1"/>
        <v>Superior Grade</v>
      </c>
      <c r="M90" s="144" t="str">
        <f t="shared" ca="1" si="15"/>
        <v>Loose Obsidian (Medium Superior Grade)</v>
      </c>
      <c r="N90" s="145">
        <f ca="1"/>
        <v>144</v>
      </c>
      <c r="P90" s="68">
        <f t="shared" ca="1" si="16"/>
        <v>14</v>
      </c>
      <c r="Q90" s="68" t="str">
        <f t="shared" ca="1" si="17"/>
        <v>Necklace (Large)</v>
      </c>
      <c r="R90" s="83">
        <f t="shared" ca="1" si="18"/>
        <v>3</v>
      </c>
      <c r="S90" s="32" t="str">
        <f t="shared" ca="1" si="19"/>
        <v>Brass</v>
      </c>
      <c r="T90" s="83">
        <f t="shared" ca="1" si="20"/>
        <v>77</v>
      </c>
      <c r="U90" s="68" t="str">
        <f t="shared" ca="1" si="21"/>
        <v>High</v>
      </c>
      <c r="V90" s="83" t="str">
        <f t="shared" ca="1" si="22"/>
        <v>Superior</v>
      </c>
      <c r="W90" s="32" t="str">
        <f t="shared" ca="1" si="23"/>
        <v>Superior Brass Necklace (Large)</v>
      </c>
      <c r="X90" s="32">
        <f t="shared" ca="1" si="24"/>
        <v>0.05</v>
      </c>
      <c r="Y90" s="146">
        <f t="shared" ca="1" si="25"/>
        <v>1.7084999999999999</v>
      </c>
    </row>
    <row r="91" spans="1:25" ht="12.75">
      <c r="A91" s="141"/>
      <c r="B91" s="139">
        <f t="shared" ca="1" si="11"/>
        <v>91</v>
      </c>
      <c r="C91" s="140" t="str">
        <f ca="1"/>
        <v>Rare</v>
      </c>
      <c r="D91" s="93">
        <f t="shared" ca="1" si="12"/>
        <v>30</v>
      </c>
      <c r="E91" s="141">
        <f ca="1"/>
        <v>4</v>
      </c>
      <c r="F91" s="141">
        <f ca="1"/>
        <v>4</v>
      </c>
      <c r="G91" s="141">
        <f ca="1"/>
        <v>0</v>
      </c>
      <c r="H91" s="141" t="str">
        <f t="array" aca="1" ref="H91" ca="1">OFFSET(TypeLast,1-D91,0)</f>
        <v>Aquamarine</v>
      </c>
      <c r="I91" s="139">
        <f t="shared" ca="1" si="13"/>
        <v>85</v>
      </c>
      <c r="J91" s="142" t="str">
        <f ca="1"/>
        <v>Medium</v>
      </c>
      <c r="K91" s="143">
        <f t="shared" ca="1" si="14"/>
        <v>89</v>
      </c>
      <c r="L91" s="140" t="str">
        <f ca="1"/>
        <v>Superior Grade</v>
      </c>
      <c r="M91" s="144" t="str">
        <f t="shared" ca="1" si="15"/>
        <v>Loose Aquamarine (Medium Superior Grade)</v>
      </c>
      <c r="N91" s="145">
        <f ca="1"/>
        <v>637.5</v>
      </c>
      <c r="P91" s="68">
        <f t="shared" ca="1" si="16"/>
        <v>3</v>
      </c>
      <c r="Q91" s="68" t="str">
        <f t="shared" ca="1" si="17"/>
        <v>Pendant</v>
      </c>
      <c r="R91" s="83">
        <f t="shared" ca="1" si="18"/>
        <v>4</v>
      </c>
      <c r="S91" s="32" t="str">
        <f t="shared" ca="1" si="19"/>
        <v>Bronze</v>
      </c>
      <c r="T91" s="83">
        <f t="shared" ca="1" si="20"/>
        <v>21</v>
      </c>
      <c r="U91" s="68" t="str">
        <f t="shared" ca="1" si="21"/>
        <v>Average</v>
      </c>
      <c r="V91" s="83" t="str">
        <f t="shared" ca="1" si="22"/>
        <v>Fair</v>
      </c>
      <c r="W91" s="32" t="str">
        <f t="shared" ca="1" si="23"/>
        <v>Fair Bronze Pendant</v>
      </c>
      <c r="X91" s="32">
        <f t="shared" ca="1" si="24"/>
        <v>5.0000000000000001E-3</v>
      </c>
      <c r="Y91" s="146">
        <f t="shared" ca="1" si="25"/>
        <v>0.50239999999999996</v>
      </c>
    </row>
    <row r="92" spans="1:25" ht="12.75">
      <c r="A92" s="141"/>
      <c r="B92" s="139">
        <f t="shared" ca="1" si="11"/>
        <v>33</v>
      </c>
      <c r="C92" s="140" t="str">
        <f ca="1"/>
        <v>Common</v>
      </c>
      <c r="D92" s="93">
        <f t="shared" ca="1" si="12"/>
        <v>15</v>
      </c>
      <c r="E92" s="141">
        <f ca="1"/>
        <v>2</v>
      </c>
      <c r="F92" s="141">
        <f ca="1"/>
        <v>2</v>
      </c>
      <c r="G92" s="141">
        <f ca="1"/>
        <v>0</v>
      </c>
      <c r="H92" s="141" t="str">
        <f t="array" aca="1" ref="H92" ca="1">OFFSET(TypeLast,1-D92,0)</f>
        <v>Rose Quartz</v>
      </c>
      <c r="I92" s="139">
        <f t="shared" ca="1" si="13"/>
        <v>51</v>
      </c>
      <c r="J92" s="142" t="str">
        <f ca="1"/>
        <v>Small</v>
      </c>
      <c r="K92" s="143">
        <f t="shared" ca="1" si="14"/>
        <v>58</v>
      </c>
      <c r="L92" s="140" t="str">
        <f ca="1"/>
        <v>Standard Grade</v>
      </c>
      <c r="M92" s="144" t="str">
        <f t="shared" ca="1" si="15"/>
        <v>Loose Rose Quartz (Small Standard Grade)</v>
      </c>
      <c r="N92" s="145">
        <f ca="1"/>
        <v>5.0999999999999996</v>
      </c>
      <c r="P92" s="68">
        <f t="shared" ca="1" si="16"/>
        <v>4</v>
      </c>
      <c r="Q92" s="68" t="str">
        <f t="shared" ca="1" si="17"/>
        <v>Necklace</v>
      </c>
      <c r="R92" s="83">
        <f t="shared" ca="1" si="18"/>
        <v>3</v>
      </c>
      <c r="S92" s="32" t="str">
        <f t="shared" ca="1" si="19"/>
        <v>Brass</v>
      </c>
      <c r="T92" s="83">
        <f t="shared" ca="1" si="20"/>
        <v>4</v>
      </c>
      <c r="U92" s="68" t="str">
        <f t="shared" ca="1" si="21"/>
        <v>Low</v>
      </c>
      <c r="V92" s="83" t="str">
        <f t="shared" ca="1" si="22"/>
        <v>Shabby</v>
      </c>
      <c r="W92" s="32" t="str">
        <f t="shared" ca="1" si="23"/>
        <v>Shabby Brass Necklace</v>
      </c>
      <c r="X92" s="32">
        <f t="shared" ca="1" si="24"/>
        <v>0.01</v>
      </c>
      <c r="Y92" s="146">
        <f t="shared" ca="1" si="25"/>
        <v>0.18982499999999999</v>
      </c>
    </row>
    <row r="93" spans="1:25" ht="12.75">
      <c r="A93" s="141"/>
      <c r="B93" s="139">
        <f t="shared" ca="1" si="11"/>
        <v>89</v>
      </c>
      <c r="C93" s="140" t="str">
        <f ca="1"/>
        <v>Rare</v>
      </c>
      <c r="D93" s="93">
        <f t="shared" ca="1" si="12"/>
        <v>30</v>
      </c>
      <c r="E93" s="141">
        <f ca="1"/>
        <v>4</v>
      </c>
      <c r="F93" s="141">
        <f ca="1"/>
        <v>4</v>
      </c>
      <c r="G93" s="141">
        <f ca="1"/>
        <v>0</v>
      </c>
      <c r="H93" s="141" t="str">
        <f t="array" aca="1" ref="H93" ca="1">OFFSET(TypeLast,1-D93,0)</f>
        <v>Aquamarine</v>
      </c>
      <c r="I93" s="139">
        <f t="shared" ca="1" si="13"/>
        <v>98</v>
      </c>
      <c r="J93" s="142" t="str">
        <f ca="1"/>
        <v>Medium</v>
      </c>
      <c r="K93" s="143">
        <f t="shared" ca="1" si="14"/>
        <v>5</v>
      </c>
      <c r="L93" s="140" t="str">
        <f ca="1"/>
        <v>Inferior Grade</v>
      </c>
      <c r="M93" s="144" t="str">
        <f t="shared" ca="1" si="15"/>
        <v>Loose Aquamarine (Medium Inferior Grade)</v>
      </c>
      <c r="N93" s="145">
        <f ca="1"/>
        <v>367.5</v>
      </c>
      <c r="P93" s="68">
        <f t="shared" ca="1" si="16"/>
        <v>5</v>
      </c>
      <c r="Q93" s="68" t="str">
        <f t="shared" ca="1" si="17"/>
        <v>Bracelet</v>
      </c>
      <c r="R93" s="83">
        <f t="shared" ca="1" si="18"/>
        <v>3</v>
      </c>
      <c r="S93" s="32" t="str">
        <f t="shared" ca="1" si="19"/>
        <v>Brass</v>
      </c>
      <c r="T93" s="83">
        <f t="shared" ca="1" si="20"/>
        <v>70</v>
      </c>
      <c r="U93" s="68" t="str">
        <f t="shared" ca="1" si="21"/>
        <v>High</v>
      </c>
      <c r="V93" s="83" t="str">
        <f t="shared" ca="1" si="22"/>
        <v>Splendid</v>
      </c>
      <c r="W93" s="32" t="str">
        <f t="shared" ca="1" si="23"/>
        <v>Splendid Brass Bracelet</v>
      </c>
      <c r="X93" s="32">
        <f t="shared" ca="1" si="24"/>
        <v>0.1</v>
      </c>
      <c r="Y93" s="146">
        <f t="shared" ca="1" si="25"/>
        <v>2.2919999999999998</v>
      </c>
    </row>
    <row r="94" spans="1:25" ht="12.75">
      <c r="A94" s="141"/>
      <c r="B94" s="139">
        <f t="shared" ca="1" si="11"/>
        <v>39</v>
      </c>
      <c r="C94" s="140" t="str">
        <f ca="1"/>
        <v>Common</v>
      </c>
      <c r="D94" s="93">
        <f t="shared" ca="1" si="12"/>
        <v>29</v>
      </c>
      <c r="E94" s="141">
        <f ca="1"/>
        <v>2</v>
      </c>
      <c r="F94" s="141">
        <f ca="1"/>
        <v>4</v>
      </c>
      <c r="G94" s="141">
        <f ca="1"/>
        <v>-20</v>
      </c>
      <c r="H94" s="141" t="str">
        <f t="array" aca="1" ref="H94" ca="1">OFFSET(TypeLast,1-D94,0)</f>
        <v>Jade</v>
      </c>
      <c r="I94" s="139">
        <f t="shared" ca="1" si="13"/>
        <v>38</v>
      </c>
      <c r="J94" s="142" t="str">
        <f ca="1"/>
        <v>Tiny</v>
      </c>
      <c r="K94" s="143">
        <f t="shared" ca="1" si="14"/>
        <v>6</v>
      </c>
      <c r="L94" s="140" t="str">
        <f ca="1"/>
        <v>Inferior Grade</v>
      </c>
      <c r="M94" s="144" t="str">
        <f t="shared" ca="1" si="15"/>
        <v>Loose Jade (Tiny Inferior Grade)</v>
      </c>
      <c r="N94" s="145">
        <f ca="1"/>
        <v>2.8499999999999996</v>
      </c>
      <c r="P94" s="68">
        <f t="shared" ca="1" si="16"/>
        <v>3</v>
      </c>
      <c r="Q94" s="68" t="str">
        <f t="shared" ca="1" si="17"/>
        <v>Pendant</v>
      </c>
      <c r="R94" s="83">
        <f t="shared" ca="1" si="18"/>
        <v>7</v>
      </c>
      <c r="S94" s="32" t="str">
        <f t="shared" ca="1" si="19"/>
        <v>Electrum</v>
      </c>
      <c r="T94" s="83">
        <f t="shared" ca="1" si="20"/>
        <v>61</v>
      </c>
      <c r="U94" s="68" t="str">
        <f t="shared" ca="1" si="21"/>
        <v>Average</v>
      </c>
      <c r="V94" s="83" t="str">
        <f t="shared" ca="1" si="22"/>
        <v>Mediocre</v>
      </c>
      <c r="W94" s="32" t="str">
        <f t="shared" ca="1" si="23"/>
        <v>Mediocre Electrum Pendant</v>
      </c>
      <c r="X94" s="32">
        <f t="shared" ca="1" si="24"/>
        <v>5.0000000000000001E-3</v>
      </c>
      <c r="Y94" s="146">
        <f t="shared" ca="1" si="25"/>
        <v>0.65</v>
      </c>
    </row>
    <row r="95" spans="1:25" ht="12.75">
      <c r="A95" s="141"/>
      <c r="B95" s="139">
        <f t="shared" ca="1" si="11"/>
        <v>29</v>
      </c>
      <c r="C95" s="140" t="str">
        <f ca="1"/>
        <v>Very Common</v>
      </c>
      <c r="D95" s="93">
        <f t="shared" ca="1" si="12"/>
        <v>37</v>
      </c>
      <c r="E95" s="141">
        <f ca="1"/>
        <v>1</v>
      </c>
      <c r="F95" s="141">
        <f ca="1"/>
        <v>5</v>
      </c>
      <c r="G95" s="141">
        <f ca="1"/>
        <v>-40</v>
      </c>
      <c r="H95" s="141" t="str">
        <f t="array" aca="1" ref="H95" ca="1">OFFSET(TypeLast,1-D95,0)</f>
        <v>Ruby</v>
      </c>
      <c r="I95" s="139">
        <f t="shared" ca="1" si="13"/>
        <v>1</v>
      </c>
      <c r="J95" s="142" t="str">
        <f ca="1"/>
        <v>Tiny</v>
      </c>
      <c r="K95" s="143">
        <f t="shared" ca="1" si="14"/>
        <v>57</v>
      </c>
      <c r="L95" s="140" t="str">
        <f ca="1"/>
        <v>Standard Grade</v>
      </c>
      <c r="M95" s="144" t="str">
        <f t="shared" ca="1" si="15"/>
        <v>Loose Ruby (Tiny Standard Grade)</v>
      </c>
      <c r="N95" s="145">
        <f ca="1"/>
        <v>0.01</v>
      </c>
      <c r="P95" s="68">
        <f t="shared" ca="1" si="16"/>
        <v>11</v>
      </c>
      <c r="Q95" s="68" t="str">
        <f t="shared" ca="1" si="17"/>
        <v>Plate</v>
      </c>
      <c r="R95" s="83">
        <f t="shared" ca="1" si="18"/>
        <v>9</v>
      </c>
      <c r="S95" s="32" t="str">
        <f t="shared" ca="1" si="19"/>
        <v>Platinum</v>
      </c>
      <c r="T95" s="83">
        <f t="shared" ca="1" si="20"/>
        <v>60</v>
      </c>
      <c r="U95" s="68" t="str">
        <f t="shared" ca="1" si="21"/>
        <v>Average</v>
      </c>
      <c r="V95" s="83" t="str">
        <f t="shared" ca="1" si="22"/>
        <v>Ordinary</v>
      </c>
      <c r="W95" s="32" t="str">
        <f t="shared" ca="1" si="23"/>
        <v>Ordinary Platinum Plate</v>
      </c>
      <c r="X95" s="32">
        <f t="shared" ca="1" si="24"/>
        <v>1</v>
      </c>
      <c r="Y95" s="146">
        <f t="shared" ca="1" si="25"/>
        <v>751</v>
      </c>
    </row>
    <row r="96" spans="1:25" ht="12.75">
      <c r="A96" s="141"/>
      <c r="B96" s="139">
        <f t="shared" ca="1" si="11"/>
        <v>29</v>
      </c>
      <c r="C96" s="140" t="str">
        <f ca="1"/>
        <v>Very Common</v>
      </c>
      <c r="D96" s="93">
        <f t="shared" ca="1" si="12"/>
        <v>18</v>
      </c>
      <c r="E96" s="141">
        <f ca="1"/>
        <v>1</v>
      </c>
      <c r="F96" s="141">
        <f ca="1"/>
        <v>2</v>
      </c>
      <c r="G96" s="141">
        <f ca="1"/>
        <v>-10</v>
      </c>
      <c r="H96" s="141" t="str">
        <f t="array" aca="1" ref="H96" ca="1">OFFSET(TypeLast,1-D96,0)</f>
        <v>Bloodstone</v>
      </c>
      <c r="I96" s="139">
        <f t="shared" ca="1" si="13"/>
        <v>30</v>
      </c>
      <c r="J96" s="142" t="str">
        <f ca="1"/>
        <v>Tiny</v>
      </c>
      <c r="K96" s="143">
        <f t="shared" ca="1" si="14"/>
        <v>79</v>
      </c>
      <c r="L96" s="140" t="str">
        <f ca="1"/>
        <v>Superior Grade</v>
      </c>
      <c r="M96" s="144" t="str">
        <f t="shared" ca="1" si="15"/>
        <v>Loose Bloodstone (Tiny Superior Grade)</v>
      </c>
      <c r="N96" s="145">
        <f ca="1"/>
        <v>0.44999999999999996</v>
      </c>
      <c r="P96" s="68">
        <f t="shared" ca="1" si="16"/>
        <v>17</v>
      </c>
      <c r="Q96" s="68" t="str">
        <f t="shared" ca="1" si="17"/>
        <v>Circlet</v>
      </c>
      <c r="R96" s="83">
        <f t="shared" ca="1" si="18"/>
        <v>10</v>
      </c>
      <c r="S96" s="32" t="str">
        <f t="shared" ca="1" si="19"/>
        <v>Mithril</v>
      </c>
      <c r="T96" s="83">
        <f t="shared" ca="1" si="20"/>
        <v>76</v>
      </c>
      <c r="U96" s="68" t="str">
        <f t="shared" ca="1" si="21"/>
        <v>High</v>
      </c>
      <c r="V96" s="83" t="str">
        <f t="shared" ca="1" si="22"/>
        <v>Fine</v>
      </c>
      <c r="W96" s="32" t="str">
        <f t="shared" ca="1" si="23"/>
        <v>Fine Mithril Circlet</v>
      </c>
      <c r="X96" s="32">
        <f t="shared" ca="1" si="24"/>
        <v>1</v>
      </c>
      <c r="Y96" s="146">
        <f t="shared" ca="1" si="25"/>
        <v>1211.25</v>
      </c>
    </row>
    <row r="97" spans="1:25" ht="12.75">
      <c r="A97" s="141"/>
      <c r="B97" s="139">
        <f t="shared" ca="1" si="11"/>
        <v>93</v>
      </c>
      <c r="C97" s="140" t="str">
        <f ca="1"/>
        <v>Rare</v>
      </c>
      <c r="D97" s="93">
        <f t="shared" ca="1" si="12"/>
        <v>34</v>
      </c>
      <c r="E97" s="141">
        <f ca="1"/>
        <v>4</v>
      </c>
      <c r="F97" s="141">
        <f ca="1"/>
        <v>5</v>
      </c>
      <c r="G97" s="141">
        <f ca="1"/>
        <v>-10</v>
      </c>
      <c r="H97" s="141" t="str">
        <f t="array" aca="1" ref="H97" ca="1">OFFSET(TypeLast,1-D97,0)</f>
        <v>Emerald</v>
      </c>
      <c r="I97" s="139">
        <f t="shared" ca="1" si="13"/>
        <v>73</v>
      </c>
      <c r="J97" s="142" t="str">
        <f ca="1"/>
        <v>Small</v>
      </c>
      <c r="K97" s="143">
        <f t="shared" ca="1" si="14"/>
        <v>31</v>
      </c>
      <c r="L97" s="140" t="str">
        <f ca="1"/>
        <v>Standard Grade</v>
      </c>
      <c r="M97" s="144" t="str">
        <f t="shared" ca="1" si="15"/>
        <v>Loose Emerald (Small Standard Grade)</v>
      </c>
      <c r="N97" s="145">
        <f ca="1"/>
        <v>365</v>
      </c>
      <c r="P97" s="68">
        <f t="shared" ca="1" si="16"/>
        <v>2</v>
      </c>
      <c r="Q97" s="68" t="str">
        <f t="shared" ca="1" si="17"/>
        <v>Earrings</v>
      </c>
      <c r="R97" s="83">
        <f t="shared" ca="1" si="18"/>
        <v>5</v>
      </c>
      <c r="S97" s="32" t="str">
        <f t="shared" ca="1" si="19"/>
        <v>Copper</v>
      </c>
      <c r="T97" s="83">
        <f t="shared" ca="1" si="20"/>
        <v>66</v>
      </c>
      <c r="U97" s="68" t="str">
        <f t="shared" ca="1" si="21"/>
        <v>High</v>
      </c>
      <c r="V97" s="83" t="str">
        <f t="shared" ca="1" si="22"/>
        <v>Fashionable</v>
      </c>
      <c r="W97" s="32" t="str">
        <f t="shared" ca="1" si="23"/>
        <v>Fashionable Copper Earrings</v>
      </c>
      <c r="X97" s="32">
        <f t="shared" ca="1" si="24"/>
        <v>2E-3</v>
      </c>
      <c r="Y97" s="146">
        <f t="shared" ca="1" si="25"/>
        <v>0.75119999999999998</v>
      </c>
    </row>
    <row r="98" spans="1:25" ht="12.75">
      <c r="A98" s="141"/>
      <c r="B98" s="139">
        <f t="shared" ca="1" si="11"/>
        <v>66</v>
      </c>
      <c r="C98" s="140" t="str">
        <f ca="1"/>
        <v>Uncommon</v>
      </c>
      <c r="D98" s="93">
        <f t="shared" ca="1" si="12"/>
        <v>26</v>
      </c>
      <c r="E98" s="141">
        <f ca="1"/>
        <v>3</v>
      </c>
      <c r="F98" s="141">
        <f ca="1"/>
        <v>3</v>
      </c>
      <c r="G98" s="141">
        <f ca="1"/>
        <v>0</v>
      </c>
      <c r="H98" s="141" t="str">
        <f t="array" aca="1" ref="H98" ca="1">OFFSET(TypeLast,1-D98,0)</f>
        <v>Peridot</v>
      </c>
      <c r="I98" s="139">
        <f t="shared" ca="1" si="13"/>
        <v>80</v>
      </c>
      <c r="J98" s="142" t="str">
        <f ca="1"/>
        <v>Medium</v>
      </c>
      <c r="K98" s="143">
        <f t="shared" ca="1" si="14"/>
        <v>80</v>
      </c>
      <c r="L98" s="140" t="str">
        <f ca="1"/>
        <v>Superior Grade</v>
      </c>
      <c r="M98" s="144" t="str">
        <f t="shared" ca="1" si="15"/>
        <v>Loose Peridot (Medium Superior Grade)</v>
      </c>
      <c r="N98" s="145">
        <f ca="1"/>
        <v>120</v>
      </c>
      <c r="P98" s="68">
        <f t="shared" ca="1" si="16"/>
        <v>8</v>
      </c>
      <c r="Q98" s="68" t="str">
        <f t="shared" ca="1" si="17"/>
        <v>Serving Spoon</v>
      </c>
      <c r="R98" s="83">
        <f t="shared" ca="1" si="18"/>
        <v>2</v>
      </c>
      <c r="S98" s="32" t="str">
        <f t="shared" ca="1" si="19"/>
        <v>Steel</v>
      </c>
      <c r="T98" s="83">
        <f t="shared" ca="1" si="20"/>
        <v>91</v>
      </c>
      <c r="U98" s="68" t="str">
        <f t="shared" ca="1" si="21"/>
        <v>Masterwork</v>
      </c>
      <c r="V98" s="83" t="str">
        <f t="shared" ca="1" si="22"/>
        <v>Magnificient</v>
      </c>
      <c r="W98" s="32" t="str">
        <f t="shared" ca="1" si="23"/>
        <v>Magnificient Steel Serving Spoon</v>
      </c>
      <c r="X98" s="32">
        <f t="shared" ca="1" si="24"/>
        <v>0.5</v>
      </c>
      <c r="Y98" s="146">
        <f t="shared" ca="1" si="25"/>
        <v>13.6875</v>
      </c>
    </row>
    <row r="99" spans="1:25" ht="12.75">
      <c r="A99" s="141"/>
      <c r="B99" s="139">
        <f t="shared" ca="1" si="11"/>
        <v>65</v>
      </c>
      <c r="C99" s="140" t="str">
        <f ca="1"/>
        <v>Uncommon</v>
      </c>
      <c r="D99" s="93">
        <f t="shared" ca="1" si="12"/>
        <v>36</v>
      </c>
      <c r="E99" s="141">
        <f ca="1"/>
        <v>3</v>
      </c>
      <c r="F99" s="141">
        <f ca="1"/>
        <v>5</v>
      </c>
      <c r="G99" s="141">
        <f ca="1"/>
        <v>-20</v>
      </c>
      <c r="H99" s="141" t="str">
        <f t="array" aca="1" ref="H99" ca="1">OFFSET(TypeLast,1-D99,0)</f>
        <v>Opal</v>
      </c>
      <c r="I99" s="139">
        <f t="shared" ca="1" si="13"/>
        <v>65</v>
      </c>
      <c r="J99" s="142" t="str">
        <f ca="1"/>
        <v>Small</v>
      </c>
      <c r="K99" s="143">
        <f t="shared" ca="1" si="14"/>
        <v>76</v>
      </c>
      <c r="L99" s="140" t="str">
        <f ca="1"/>
        <v>Superior Grade</v>
      </c>
      <c r="M99" s="144" t="str">
        <f t="shared" ca="1" si="15"/>
        <v>Loose Opal (Small Superior Grade)</v>
      </c>
      <c r="N99" s="145">
        <f ca="1"/>
        <v>97.5</v>
      </c>
      <c r="P99" s="68">
        <f t="shared" ca="1" si="16"/>
        <v>18</v>
      </c>
      <c r="Q99" s="68" t="str">
        <f t="shared" ca="1" si="17"/>
        <v>Tankard</v>
      </c>
      <c r="R99" s="83">
        <f t="shared" ca="1" si="18"/>
        <v>7</v>
      </c>
      <c r="S99" s="32" t="str">
        <f t="shared" ca="1" si="19"/>
        <v>Electrum</v>
      </c>
      <c r="T99" s="83">
        <f t="shared" ca="1" si="20"/>
        <v>84</v>
      </c>
      <c r="U99" s="68" t="str">
        <f t="shared" ca="1" si="21"/>
        <v>High</v>
      </c>
      <c r="V99" s="83" t="str">
        <f t="shared" ca="1" si="22"/>
        <v>Superior</v>
      </c>
      <c r="W99" s="32" t="str">
        <f t="shared" ca="1" si="23"/>
        <v>Superior Electrum Tankard</v>
      </c>
      <c r="X99" s="32">
        <f t="shared" ca="1" si="24"/>
        <v>1</v>
      </c>
      <c r="Y99" s="146">
        <f t="shared" ca="1" si="25"/>
        <v>32.25</v>
      </c>
    </row>
    <row r="100" spans="1:25" ht="12.75">
      <c r="A100" s="148"/>
      <c r="B100" s="149">
        <f t="shared" ca="1" si="11"/>
        <v>21</v>
      </c>
      <c r="C100" s="150" t="str">
        <f ca="1"/>
        <v>Very Common</v>
      </c>
      <c r="D100" s="100">
        <f t="shared" ca="1" si="12"/>
        <v>4</v>
      </c>
      <c r="E100" s="148">
        <f ca="1"/>
        <v>1</v>
      </c>
      <c r="F100" s="148">
        <f ca="1"/>
        <v>1</v>
      </c>
      <c r="G100" s="148">
        <f ca="1"/>
        <v>0</v>
      </c>
      <c r="H100" s="148" t="str">
        <f t="array" aca="1" ref="H100" ca="1">OFFSET(TypeLast,1-D100,0)</f>
        <v>Malachite</v>
      </c>
      <c r="I100" s="149">
        <f t="shared" ca="1" si="13"/>
        <v>121</v>
      </c>
      <c r="J100" s="151" t="str">
        <f ca="1"/>
        <v>Medium</v>
      </c>
      <c r="K100" s="152">
        <f t="shared" ca="1" si="14"/>
        <v>55</v>
      </c>
      <c r="L100" s="150" t="str">
        <f ca="1"/>
        <v>Standard Grade</v>
      </c>
      <c r="M100" s="153" t="str">
        <f t="shared" ca="1" si="15"/>
        <v>Loose Malachite (Medium Standard Grade)</v>
      </c>
      <c r="N100" s="154">
        <f ca="1"/>
        <v>1.21</v>
      </c>
      <c r="P100" s="74">
        <f t="shared" ca="1" si="16"/>
        <v>24</v>
      </c>
      <c r="Q100" s="74" t="str">
        <f t="shared" ca="1" si="17"/>
        <v>Bowl (Large)</v>
      </c>
      <c r="R100" s="86">
        <f t="shared" ca="1" si="18"/>
        <v>10</v>
      </c>
      <c r="S100" s="39" t="str">
        <f t="shared" ca="1" si="19"/>
        <v>Mithril</v>
      </c>
      <c r="T100" s="86">
        <f t="shared" ca="1" si="20"/>
        <v>11</v>
      </c>
      <c r="U100" s="74" t="str">
        <f t="shared" ca="1" si="21"/>
        <v>Average</v>
      </c>
      <c r="V100" s="86" t="str">
        <f t="shared" ca="1" si="22"/>
        <v>Mediocre</v>
      </c>
      <c r="W100" s="39" t="str">
        <f t="shared" ca="1" si="23"/>
        <v>Mediocre Mithril Bowl (Large)</v>
      </c>
      <c r="X100" s="39">
        <f t="shared" ca="1" si="24"/>
        <v>2</v>
      </c>
      <c r="Y100" s="155">
        <f t="shared" ca="1" si="25"/>
        <v>2405</v>
      </c>
    </row>
    <row r="102" spans="1:25" ht="12.75">
      <c r="A102" s="125" t="s">
        <v>232</v>
      </c>
      <c r="B102" s="126"/>
      <c r="C102" s="126"/>
      <c r="D102" s="126"/>
      <c r="E102" s="126"/>
      <c r="F102" s="126"/>
      <c r="G102" s="126"/>
      <c r="H102" s="126"/>
      <c r="I102" s="126"/>
      <c r="J102" s="126"/>
      <c r="K102" s="126"/>
      <c r="L102" s="126"/>
      <c r="M102" s="126"/>
      <c r="N102" s="127"/>
      <c r="O102" s="43"/>
      <c r="P102" s="228" t="s">
        <v>233</v>
      </c>
      <c r="Q102" s="214"/>
      <c r="R102" s="214"/>
      <c r="S102" s="214"/>
      <c r="T102" s="214"/>
      <c r="U102" s="214"/>
      <c r="V102" s="214"/>
      <c r="W102" s="214"/>
      <c r="X102" s="215"/>
    </row>
    <row r="103" spans="1:25" ht="12.75">
      <c r="A103" s="128"/>
      <c r="B103" s="24" t="s">
        <v>220</v>
      </c>
      <c r="C103" s="24" t="s">
        <v>81</v>
      </c>
      <c r="D103" s="24" t="s">
        <v>221</v>
      </c>
      <c r="E103" s="24" t="s">
        <v>222</v>
      </c>
      <c r="F103" s="24" t="s">
        <v>223</v>
      </c>
      <c r="G103" s="24" t="s">
        <v>224</v>
      </c>
      <c r="H103" s="24" t="s">
        <v>84</v>
      </c>
      <c r="I103" s="24" t="s">
        <v>225</v>
      </c>
      <c r="J103" s="24" t="s">
        <v>226</v>
      </c>
      <c r="K103" s="24" t="s">
        <v>227</v>
      </c>
      <c r="L103" s="24" t="s">
        <v>215</v>
      </c>
      <c r="M103" s="24" t="s">
        <v>32</v>
      </c>
      <c r="N103" s="24" t="s">
        <v>33</v>
      </c>
      <c r="O103" s="43"/>
      <c r="P103" s="24" t="s">
        <v>55</v>
      </c>
      <c r="Q103" s="24" t="s">
        <v>84</v>
      </c>
      <c r="R103" s="24" t="s">
        <v>56</v>
      </c>
      <c r="S103" s="24" t="s">
        <v>73</v>
      </c>
      <c r="T103" s="24" t="s">
        <v>57</v>
      </c>
      <c r="U103" s="24" t="s">
        <v>215</v>
      </c>
      <c r="V103" s="43" t="s">
        <v>228</v>
      </c>
      <c r="W103" s="24" t="s">
        <v>32</v>
      </c>
      <c r="X103" s="24" t="s">
        <v>58</v>
      </c>
      <c r="Y103" s="24" t="s">
        <v>33</v>
      </c>
    </row>
    <row r="104" spans="1:25" ht="12.75">
      <c r="A104" s="24" t="s">
        <v>229</v>
      </c>
      <c r="B104" s="129">
        <f ca="1">WealthMod*100+A106</f>
        <v>5</v>
      </c>
      <c r="C104" s="82"/>
      <c r="D104" s="60"/>
      <c r="E104" s="82"/>
      <c r="F104" s="82"/>
      <c r="G104" s="82"/>
      <c r="H104" s="82"/>
      <c r="I104" s="129">
        <f ca="1">WealthMod*100+A106</f>
        <v>5</v>
      </c>
      <c r="J104" s="82"/>
      <c r="K104" s="129">
        <f ca="1">WealthMod*100+A106</f>
        <v>5</v>
      </c>
      <c r="L104" s="82"/>
      <c r="M104" s="82"/>
      <c r="N104" s="82"/>
      <c r="O104" s="43"/>
      <c r="P104" s="24" t="s">
        <v>230</v>
      </c>
      <c r="Q104" s="82"/>
      <c r="R104" s="82">
        <f ca="1">ROUND((WealthMod+A106*0.01)*MaterialCount,0)</f>
        <v>1</v>
      </c>
      <c r="S104" s="77"/>
      <c r="T104" s="82">
        <f ca="1">WealthMod*100+A106</f>
        <v>5</v>
      </c>
      <c r="U104" s="77"/>
      <c r="V104" s="77"/>
      <c r="W104" s="82"/>
      <c r="X104" s="82"/>
      <c r="Y104" s="82"/>
    </row>
    <row r="105" spans="1:25" ht="12.75">
      <c r="A105" s="130" t="s">
        <v>231</v>
      </c>
      <c r="B105" s="131">
        <f t="shared" ref="B105:B129" ca="1" si="26">MAX(MIN(ROUND(RANDBETWEEN(1,100)+$B$104,0),100),1)</f>
        <v>96</v>
      </c>
      <c r="C105" s="132" t="str">
        <f t="array" aca="1" ref="C105:C129" ca="1">VLOOKUP(B105:B129,ProbR,2)</f>
        <v>Very Rare</v>
      </c>
      <c r="D105" s="91">
        <f t="shared" ref="D105:D129" ca="1" si="27">RANDBETWEEN(OFFSET(TypeRef,MATCH(C105,TypeRange,0)+1,1),OFFSET(TypeRef,MATCH(C105,TypeRange,0),1))</f>
        <v>36</v>
      </c>
      <c r="E105" s="133">
        <f t="array" aca="1" ref="E105:E129" ca="1">VLOOKUP(C105:C129,StoneV,3,FALSE)</f>
        <v>5</v>
      </c>
      <c r="F105" s="133">
        <f t="array" aca="1" ref="F105:F129" ca="1">IF(D105:D129&lt;D$26,C$25,IF(D105:D129&lt;D$27,C$26,IF(D105:D129&lt;D$28,C$27,IF(D105:D129&lt;D$29,C$28,IF(D105:D129&lt;D$30,C$29,C$30)))))</f>
        <v>5</v>
      </c>
      <c r="G105" s="133">
        <f t="array" aca="1" ref="G105:G129" ca="1">(E105:E129-F105:F129)*10</f>
        <v>0</v>
      </c>
      <c r="H105" s="133" t="str">
        <f t="array" aca="1" ref="H105" ca="1">OFFSET(TypeLast,1-D105,0)</f>
        <v>Opal</v>
      </c>
      <c r="I105" s="131">
        <f t="shared" ref="I105:I129" ca="1" si="28">MAX(MIN(IF(RANDBETWEEN(0,1)=0,RANDBETWEEN(1,75)+RANDBETWEEN(1,75),(RANDBETWEEN(1,100)+RANDBETWEEN(0,100)))+$I$104+G105,200),1)</f>
        <v>155</v>
      </c>
      <c r="J105" s="134" t="str">
        <f t="array" aca="1" ref="J105:J129" ca="1">IF(I105:I129&lt;50,"Tiny",IF(I105:I129&lt;75,"Small",IF(I105:I129&lt;125,"Medium",IF(I105:I129&lt;150,"Large","Huge"))))</f>
        <v>Huge</v>
      </c>
      <c r="K105" s="135">
        <f t="shared" ref="K105:K129" ca="1" si="29">MAX(MIN(RANDBETWEEN(1,100)+K$104+G105,100),1)</f>
        <v>77</v>
      </c>
      <c r="L105" s="132" t="str">
        <f t="array" aca="1" ref="L105:L129" ca="1">VLOOKUP(K105:K129,StoneQ,2,TRUE)</f>
        <v>Superior Grade</v>
      </c>
      <c r="M105" s="136" t="str">
        <f t="shared" ref="M105:M129" ca="1" si="30">CONCATENATE(H105," (",J105," ",L105,")")</f>
        <v>Opal (Huge Superior Grade)</v>
      </c>
      <c r="N105" s="137">
        <f t="array" aca="1" ref="N105:N129" ca="1">VLOOKUP(C105:C129,StoneV,2,FALSE)*(I105:I129*0.01)*VLOOKUP(K105:K129,StoneQ,3,TRUE)</f>
        <v>2325</v>
      </c>
      <c r="P105" s="46">
        <f t="shared" ref="P105:P129" ca="1" si="31">IF(RANDBETWEEN(1,2)=1,RANDBETWEEN(1,ItemCommonCount),IF(RANDBETWEEN(1,2)=1,(RANDBETWEEN(1,ItemUncommonCount)+ItemCommonCount),IF(RANDBETWEEN(1,2)=1,(RANDBETWEEN(1,ItemRareCount)+ItemCommonCount+ItemUncommonCount),(RANDBETWEEN(1,ItemUniqueCount)+ItemCommonCount+ItemUncommonCount+ItemRareCount))))</f>
        <v>4</v>
      </c>
      <c r="Q105" s="46" t="str">
        <f t="shared" ref="Q105:Q129" ca="1" si="32">OFFSET(ItemTypeRef,P105,0)</f>
        <v>Necklace</v>
      </c>
      <c r="R105" s="82">
        <f t="shared" ref="R105:R129" ca="1" si="33">RANDBETWEEN(1,MaterialCount)+$R$104</f>
        <v>8</v>
      </c>
      <c r="S105" s="27" t="str">
        <f t="shared" ref="S105:S129" ca="1" si="34">IF(R105&lt;1,OFFSET(MaterialRef,1,0),IF(R105&lt;=MaterialCount,OFFSET(MaterialRef,R105,0),OFFSET(MaterialRef,MaterialCount,0)))</f>
        <v>Gold</v>
      </c>
      <c r="T105" s="82">
        <f t="shared" ref="T105:T129" ca="1" si="35">RANDBETWEEN(1,100)+$T$104</f>
        <v>105</v>
      </c>
      <c r="U105" s="27" t="str">
        <f t="shared" ref="U105:U129" ca="1" si="36">IF(T105&lt;OFFSET(ProbQ,1,3),OFFSET(ProbQ,1,0),(IF(T105&lt;OFFSET(ProbQ,2,3),OFFSET(ProbQ,2,0),IF(T105&lt;OFFSET(ProbQ,3,3),OFFSET(ProbQ,3,0),OFFSET(ProbQ,4,0)))))</f>
        <v>Masterwork</v>
      </c>
      <c r="V105" s="46" t="str">
        <f t="shared" ref="V105:V129" ca="1" si="37">OFFSET(CraftRef,RANDBETWEEN(1,CraftNum),MATCH($U105,CraftRange,0)-1)</f>
        <v>Extraordinary</v>
      </c>
      <c r="W105" s="82" t="str">
        <f t="shared" ref="W105:W129" ca="1" si="38">CONCATENATE(V105," ",S105," ",Q105,", set with ",M105,IF(Q105="Earrings",", Pair",""))</f>
        <v>Extraordinary Gold Necklace, set with Opal (Huge Superior Grade)</v>
      </c>
      <c r="X105" s="27">
        <f t="shared" ref="X105:X129" ca="1" si="39">OFFSET(ItemTypeRef,MATCH(Q105,ItemTypeRange,0),1)</f>
        <v>0.01</v>
      </c>
      <c r="Y105" s="138">
        <f t="shared" ref="Y105:Y129" ca="1" si="40">(X105*OFFSET(MaterialRef,MATCH($S105,MaterialRange,0),2)*OFFSET(MaterialRef,MATCH($S105,MaterialRange,0),1))+(OFFSET(MaterialRef,MATCH($S105,MaterialRange,0),3)*OFFSET(QRef,MATCH(U105,QRange,0),1)*OFFSET($P$15,$P105,2)/2)+N105+IF(Q105="Earrings",N105,0)</f>
        <v>2332.35</v>
      </c>
    </row>
    <row r="106" spans="1:25" ht="12.75">
      <c r="A106" s="130">
        <v>5</v>
      </c>
      <c r="B106" s="139">
        <f t="shared" ca="1" si="26"/>
        <v>92</v>
      </c>
      <c r="C106" s="140" t="str">
        <f ca="1"/>
        <v>Rare</v>
      </c>
      <c r="D106" s="93">
        <f t="shared" ca="1" si="27"/>
        <v>36</v>
      </c>
      <c r="E106" s="141">
        <f ca="1"/>
        <v>4</v>
      </c>
      <c r="F106" s="141">
        <f ca="1"/>
        <v>5</v>
      </c>
      <c r="G106" s="141">
        <f ca="1"/>
        <v>-10</v>
      </c>
      <c r="H106" s="141" t="str">
        <f t="array" aca="1" ref="H106" ca="1">OFFSET(TypeLast,1-D106,0)</f>
        <v>Opal</v>
      </c>
      <c r="I106" s="139">
        <f t="shared" ca="1" si="28"/>
        <v>83</v>
      </c>
      <c r="J106" s="142" t="str">
        <f ca="1"/>
        <v>Medium</v>
      </c>
      <c r="K106" s="143">
        <f t="shared" ca="1" si="29"/>
        <v>3</v>
      </c>
      <c r="L106" s="140" t="str">
        <f ca="1"/>
        <v>Inferior Grade</v>
      </c>
      <c r="M106" s="144" t="str">
        <f t="shared" ca="1" si="30"/>
        <v>Opal (Medium Inferior Grade)</v>
      </c>
      <c r="N106" s="145">
        <f ca="1"/>
        <v>311.25000000000006</v>
      </c>
      <c r="P106" s="68">
        <f t="shared" ca="1" si="31"/>
        <v>5</v>
      </c>
      <c r="Q106" s="68" t="str">
        <f t="shared" ca="1" si="32"/>
        <v>Bracelet</v>
      </c>
      <c r="R106" s="83">
        <f t="shared" ca="1" si="33"/>
        <v>7</v>
      </c>
      <c r="S106" t="str">
        <f t="shared" ca="1" si="34"/>
        <v>Electrum</v>
      </c>
      <c r="T106" s="83">
        <f t="shared" ca="1" si="35"/>
        <v>17</v>
      </c>
      <c r="U106" t="str">
        <f t="shared" ca="1" si="36"/>
        <v>Average</v>
      </c>
      <c r="V106" s="68" t="str">
        <f t="shared" ca="1" si="37"/>
        <v>Fair</v>
      </c>
      <c r="W106" s="83" t="str">
        <f t="shared" ca="1" si="38"/>
        <v>Fair Electrum Bracelet, set with Opal (Medium Inferior Grade)</v>
      </c>
      <c r="X106">
        <f t="shared" ca="1" si="39"/>
        <v>0.1</v>
      </c>
      <c r="Y106" s="146">
        <f t="shared" ca="1" si="40"/>
        <v>315.25000000000006</v>
      </c>
    </row>
    <row r="107" spans="1:25" ht="12.75">
      <c r="A107" s="141"/>
      <c r="B107" s="139">
        <f t="shared" ca="1" si="26"/>
        <v>97</v>
      </c>
      <c r="C107" s="140" t="str">
        <f ca="1"/>
        <v>Very Rare</v>
      </c>
      <c r="D107" s="93">
        <f t="shared" ca="1" si="27"/>
        <v>37</v>
      </c>
      <c r="E107" s="141">
        <f ca="1"/>
        <v>5</v>
      </c>
      <c r="F107" s="141">
        <f ca="1"/>
        <v>5</v>
      </c>
      <c r="G107" s="141">
        <f ca="1"/>
        <v>0</v>
      </c>
      <c r="H107" s="141" t="str">
        <f t="array" aca="1" ref="H107" ca="1">OFFSET(TypeLast,1-D107,0)</f>
        <v>Ruby</v>
      </c>
      <c r="I107" s="139">
        <f t="shared" ca="1" si="28"/>
        <v>132</v>
      </c>
      <c r="J107" s="142" t="str">
        <f ca="1"/>
        <v>Large</v>
      </c>
      <c r="K107" s="143">
        <f t="shared" ca="1" si="29"/>
        <v>14</v>
      </c>
      <c r="L107" s="140" t="str">
        <f ca="1"/>
        <v>Inferior Grade</v>
      </c>
      <c r="M107" s="144" t="str">
        <f t="shared" ca="1" si="30"/>
        <v>Ruby (Large Inferior Grade)</v>
      </c>
      <c r="N107" s="145">
        <f ca="1"/>
        <v>990</v>
      </c>
      <c r="P107" s="68">
        <f t="shared" ca="1" si="31"/>
        <v>1</v>
      </c>
      <c r="Q107" s="68" t="str">
        <f t="shared" ca="1" si="32"/>
        <v>Ring</v>
      </c>
      <c r="R107" s="83">
        <f t="shared" ca="1" si="33"/>
        <v>7</v>
      </c>
      <c r="S107" t="str">
        <f t="shared" ca="1" si="34"/>
        <v>Electrum</v>
      </c>
      <c r="T107" s="83">
        <f t="shared" ca="1" si="35"/>
        <v>25</v>
      </c>
      <c r="U107" t="str">
        <f t="shared" ca="1" si="36"/>
        <v>Average</v>
      </c>
      <c r="V107" s="68" t="str">
        <f t="shared" ca="1" si="37"/>
        <v>Fair</v>
      </c>
      <c r="W107" s="83" t="str">
        <f t="shared" ca="1" si="38"/>
        <v>Fair Electrum Ring, set with Ruby (Large Inferior Grade)</v>
      </c>
      <c r="X107">
        <f t="shared" ca="1" si="39"/>
        <v>1E-3</v>
      </c>
      <c r="Y107" s="146">
        <f t="shared" ca="1" si="40"/>
        <v>991.03</v>
      </c>
    </row>
    <row r="108" spans="1:25" ht="12.75">
      <c r="A108" s="141"/>
      <c r="B108" s="139">
        <f t="shared" ca="1" si="26"/>
        <v>57</v>
      </c>
      <c r="C108" s="140" t="str">
        <f ca="1"/>
        <v>Common</v>
      </c>
      <c r="D108" s="93">
        <f t="shared" ca="1" si="27"/>
        <v>17</v>
      </c>
      <c r="E108" s="141">
        <f ca="1"/>
        <v>2</v>
      </c>
      <c r="F108" s="141">
        <f ca="1"/>
        <v>2</v>
      </c>
      <c r="G108" s="141">
        <f ca="1"/>
        <v>0</v>
      </c>
      <c r="H108" s="141" t="str">
        <f t="array" aca="1" ref="H108" ca="1">OFFSET(TypeLast,1-D108,0)</f>
        <v>Moonstone</v>
      </c>
      <c r="I108" s="139">
        <f t="shared" ca="1" si="28"/>
        <v>129</v>
      </c>
      <c r="J108" s="142" t="str">
        <f ca="1"/>
        <v>Large</v>
      </c>
      <c r="K108" s="143">
        <f t="shared" ca="1" si="29"/>
        <v>49</v>
      </c>
      <c r="L108" s="140" t="str">
        <f ca="1"/>
        <v>Standard Grade</v>
      </c>
      <c r="M108" s="144" t="str">
        <f t="shared" ca="1" si="30"/>
        <v>Moonstone (Large Standard Grade)</v>
      </c>
      <c r="N108" s="145">
        <f ca="1"/>
        <v>12.9</v>
      </c>
      <c r="P108" s="68">
        <f t="shared" ca="1" si="31"/>
        <v>19</v>
      </c>
      <c r="Q108" s="68" t="str">
        <f t="shared" ca="1" si="32"/>
        <v>Flask</v>
      </c>
      <c r="R108" s="83">
        <f t="shared" ca="1" si="33"/>
        <v>2</v>
      </c>
      <c r="S108" t="str">
        <f t="shared" ca="1" si="34"/>
        <v>Steel</v>
      </c>
      <c r="T108" s="83">
        <f t="shared" ca="1" si="35"/>
        <v>67</v>
      </c>
      <c r="U108" t="str">
        <f t="shared" ca="1" si="36"/>
        <v>High</v>
      </c>
      <c r="V108" s="68" t="str">
        <f t="shared" ca="1" si="37"/>
        <v>Fashionable</v>
      </c>
      <c r="W108" s="83" t="str">
        <f t="shared" ca="1" si="38"/>
        <v>Fashionable Steel Flask, set with Moonstone (Large Standard Grade)</v>
      </c>
      <c r="X108">
        <f t="shared" ca="1" si="39"/>
        <v>0.5</v>
      </c>
      <c r="Y108" s="146">
        <f t="shared" ca="1" si="40"/>
        <v>17.587499999999999</v>
      </c>
    </row>
    <row r="109" spans="1:25" ht="12.75">
      <c r="A109" s="141"/>
      <c r="B109" s="139">
        <f t="shared" ca="1" si="26"/>
        <v>30</v>
      </c>
      <c r="C109" s="140" t="str">
        <f ca="1"/>
        <v>Very Common</v>
      </c>
      <c r="D109" s="93">
        <f t="shared" ca="1" si="27"/>
        <v>27</v>
      </c>
      <c r="E109" s="141">
        <f ca="1"/>
        <v>1</v>
      </c>
      <c r="F109" s="141">
        <f ca="1"/>
        <v>4</v>
      </c>
      <c r="G109" s="141">
        <f ca="1"/>
        <v>-30</v>
      </c>
      <c r="H109" s="141" t="str">
        <f t="array" aca="1" ref="H109" ca="1">OFFSET(TypeLast,1-D109,0)</f>
        <v>Garnet</v>
      </c>
      <c r="I109" s="139">
        <f t="shared" ca="1" si="28"/>
        <v>33</v>
      </c>
      <c r="J109" s="142" t="str">
        <f ca="1"/>
        <v>Tiny</v>
      </c>
      <c r="K109" s="143">
        <f t="shared" ca="1" si="29"/>
        <v>4</v>
      </c>
      <c r="L109" s="140" t="str">
        <f ca="1"/>
        <v>Inferior Grade</v>
      </c>
      <c r="M109" s="144" t="str">
        <f t="shared" ca="1" si="30"/>
        <v>Garnet (Tiny Inferior Grade)</v>
      </c>
      <c r="N109" s="145">
        <f ca="1"/>
        <v>0.2475</v>
      </c>
      <c r="P109" s="68">
        <f t="shared" ca="1" si="31"/>
        <v>13</v>
      </c>
      <c r="Q109" s="68" t="str">
        <f t="shared" ca="1" si="32"/>
        <v>Cup</v>
      </c>
      <c r="R109" s="83">
        <f t="shared" ca="1" si="33"/>
        <v>10</v>
      </c>
      <c r="S109" t="str">
        <f t="shared" ca="1" si="34"/>
        <v>Mithril</v>
      </c>
      <c r="T109" s="83">
        <f t="shared" ca="1" si="35"/>
        <v>22</v>
      </c>
      <c r="U109" t="str">
        <f t="shared" ca="1" si="36"/>
        <v>Average</v>
      </c>
      <c r="V109" s="68" t="str">
        <f t="shared" ca="1" si="37"/>
        <v>Mediocre</v>
      </c>
      <c r="W109" s="83" t="str">
        <f t="shared" ca="1" si="38"/>
        <v>Mediocre Mithril Cup, set with Garnet (Tiny Inferior Grade)</v>
      </c>
      <c r="X109">
        <f t="shared" ca="1" si="39"/>
        <v>0.5</v>
      </c>
      <c r="Y109" s="146">
        <f t="shared" ca="1" si="40"/>
        <v>605.24749999999995</v>
      </c>
    </row>
    <row r="110" spans="1:25" ht="12.75">
      <c r="A110" s="141"/>
      <c r="B110" s="139">
        <f t="shared" ca="1" si="26"/>
        <v>69</v>
      </c>
      <c r="C110" s="140" t="str">
        <f ca="1"/>
        <v>Uncommon</v>
      </c>
      <c r="D110" s="93">
        <f t="shared" ca="1" si="27"/>
        <v>33</v>
      </c>
      <c r="E110" s="141">
        <f ca="1"/>
        <v>3</v>
      </c>
      <c r="F110" s="141">
        <f ca="1"/>
        <v>4</v>
      </c>
      <c r="G110" s="141">
        <f ca="1"/>
        <v>-10</v>
      </c>
      <c r="H110" s="141" t="str">
        <f t="array" aca="1" ref="H110" ca="1">OFFSET(TypeLast,1-D110,0)</f>
        <v>Amethyst</v>
      </c>
      <c r="I110" s="139">
        <f t="shared" ca="1" si="28"/>
        <v>30</v>
      </c>
      <c r="J110" s="142" t="str">
        <f ca="1"/>
        <v>Tiny</v>
      </c>
      <c r="K110" s="143">
        <f t="shared" ca="1" si="29"/>
        <v>67</v>
      </c>
      <c r="L110" s="140" t="str">
        <f ca="1"/>
        <v>Standard Grade</v>
      </c>
      <c r="M110" s="144" t="str">
        <f t="shared" ca="1" si="30"/>
        <v>Amethyst (Tiny Standard Grade)</v>
      </c>
      <c r="N110" s="145">
        <f ca="1"/>
        <v>30</v>
      </c>
      <c r="P110" s="68">
        <f t="shared" ca="1" si="31"/>
        <v>4</v>
      </c>
      <c r="Q110" s="68" t="str">
        <f t="shared" ca="1" si="32"/>
        <v>Necklace</v>
      </c>
      <c r="R110" s="83">
        <f t="shared" ca="1" si="33"/>
        <v>4</v>
      </c>
      <c r="S110" t="str">
        <f t="shared" ca="1" si="34"/>
        <v>Bronze</v>
      </c>
      <c r="T110" s="83">
        <f t="shared" ca="1" si="35"/>
        <v>47</v>
      </c>
      <c r="U110" t="str">
        <f t="shared" ca="1" si="36"/>
        <v>Average</v>
      </c>
      <c r="V110" s="68" t="str">
        <f t="shared" ca="1" si="37"/>
        <v>Ordinary</v>
      </c>
      <c r="W110" s="83" t="str">
        <f t="shared" ca="1" si="38"/>
        <v>Ordinary Bronze Necklace, set with Amethyst (Tiny Standard Grade)</v>
      </c>
      <c r="X110">
        <f t="shared" ca="1" si="39"/>
        <v>0.01</v>
      </c>
      <c r="Y110" s="146">
        <f t="shared" ca="1" si="40"/>
        <v>30.754799999999999</v>
      </c>
    </row>
    <row r="111" spans="1:25" ht="12.75">
      <c r="A111" s="141"/>
      <c r="B111" s="139">
        <f t="shared" ca="1" si="26"/>
        <v>26</v>
      </c>
      <c r="C111" s="140" t="str">
        <f ca="1"/>
        <v>Very Common</v>
      </c>
      <c r="D111" s="93">
        <f t="shared" ca="1" si="27"/>
        <v>9</v>
      </c>
      <c r="E111" s="141">
        <f ca="1"/>
        <v>1</v>
      </c>
      <c r="F111" s="141">
        <f ca="1"/>
        <v>1</v>
      </c>
      <c r="G111" s="141">
        <f ca="1"/>
        <v>0</v>
      </c>
      <c r="H111" s="141" t="str">
        <f t="array" aca="1" ref="H111" ca="1">OFFSET(TypeLast,1-D111,0)</f>
        <v>Rock Crystal</v>
      </c>
      <c r="I111" s="139">
        <f t="shared" ca="1" si="28"/>
        <v>84</v>
      </c>
      <c r="J111" s="142" t="str">
        <f ca="1"/>
        <v>Medium</v>
      </c>
      <c r="K111" s="143">
        <f t="shared" ca="1" si="29"/>
        <v>80</v>
      </c>
      <c r="L111" s="140" t="str">
        <f ca="1"/>
        <v>Superior Grade</v>
      </c>
      <c r="M111" s="144" t="str">
        <f t="shared" ca="1" si="30"/>
        <v>Rock Crystal (Medium Superior Grade)</v>
      </c>
      <c r="N111" s="145">
        <f ca="1"/>
        <v>1.26</v>
      </c>
      <c r="P111" s="68">
        <f t="shared" ca="1" si="31"/>
        <v>22</v>
      </c>
      <c r="Q111" s="68" t="str">
        <f t="shared" ca="1" si="32"/>
        <v>Chalice</v>
      </c>
      <c r="R111" s="83">
        <f t="shared" ca="1" si="33"/>
        <v>7</v>
      </c>
      <c r="S111" t="str">
        <f t="shared" ca="1" si="34"/>
        <v>Electrum</v>
      </c>
      <c r="T111" s="83">
        <f t="shared" ca="1" si="35"/>
        <v>104</v>
      </c>
      <c r="U111" t="str">
        <f t="shared" ca="1" si="36"/>
        <v>Masterwork</v>
      </c>
      <c r="V111" s="68" t="str">
        <f t="shared" ca="1" si="37"/>
        <v>Extraordinary</v>
      </c>
      <c r="W111" s="83" t="str">
        <f t="shared" ca="1" si="38"/>
        <v>Extraordinary Electrum Chalice, set with Rock Crystal (Medium Superior Grade)</v>
      </c>
      <c r="X111">
        <f t="shared" ca="1" si="39"/>
        <v>1</v>
      </c>
      <c r="Y111" s="146">
        <f t="shared" ca="1" si="40"/>
        <v>40.26</v>
      </c>
    </row>
    <row r="112" spans="1:25" ht="12.75">
      <c r="A112" s="141"/>
      <c r="B112" s="139">
        <f t="shared" ca="1" si="26"/>
        <v>65</v>
      </c>
      <c r="C112" s="140" t="str">
        <f ca="1"/>
        <v>Uncommon</v>
      </c>
      <c r="D112" s="93">
        <f t="shared" ca="1" si="27"/>
        <v>23</v>
      </c>
      <c r="E112" s="141">
        <f ca="1"/>
        <v>3</v>
      </c>
      <c r="F112" s="141">
        <f ca="1"/>
        <v>3</v>
      </c>
      <c r="G112" s="141">
        <f ca="1"/>
        <v>0</v>
      </c>
      <c r="H112" s="141" t="str">
        <f t="array" aca="1" ref="H112" ca="1">OFFSET(TypeLast,1-D112,0)</f>
        <v>Onyx</v>
      </c>
      <c r="I112" s="139">
        <f t="shared" ca="1" si="28"/>
        <v>75</v>
      </c>
      <c r="J112" s="142" t="str">
        <f ca="1"/>
        <v>Medium</v>
      </c>
      <c r="K112" s="143">
        <f t="shared" ca="1" si="29"/>
        <v>54</v>
      </c>
      <c r="L112" s="140" t="str">
        <f ca="1"/>
        <v>Standard Grade</v>
      </c>
      <c r="M112" s="144" t="str">
        <f t="shared" ca="1" si="30"/>
        <v>Onyx (Medium Standard Grade)</v>
      </c>
      <c r="N112" s="145">
        <f ca="1"/>
        <v>75</v>
      </c>
      <c r="P112" s="68">
        <f t="shared" ca="1" si="31"/>
        <v>4</v>
      </c>
      <c r="Q112" s="68" t="str">
        <f t="shared" ca="1" si="32"/>
        <v>Necklace</v>
      </c>
      <c r="R112" s="83">
        <f t="shared" ca="1" si="33"/>
        <v>7</v>
      </c>
      <c r="S112" t="str">
        <f t="shared" ca="1" si="34"/>
        <v>Electrum</v>
      </c>
      <c r="T112" s="83">
        <f t="shared" ca="1" si="35"/>
        <v>67</v>
      </c>
      <c r="U112" t="str">
        <f t="shared" ca="1" si="36"/>
        <v>High</v>
      </c>
      <c r="V112" s="68" t="str">
        <f t="shared" ca="1" si="37"/>
        <v>Elegant</v>
      </c>
      <c r="W112" s="83" t="str">
        <f t="shared" ca="1" si="38"/>
        <v>Elegant Electrum Necklace, set with Onyx (Medium Standard Grade)</v>
      </c>
      <c r="X112">
        <f t="shared" ca="1" si="39"/>
        <v>0.01</v>
      </c>
      <c r="Y112" s="146">
        <f t="shared" ca="1" si="40"/>
        <v>77.55</v>
      </c>
    </row>
    <row r="113" spans="1:25" ht="12.75">
      <c r="A113" s="141"/>
      <c r="B113" s="139">
        <f t="shared" ca="1" si="26"/>
        <v>8</v>
      </c>
      <c r="C113" s="140" t="str">
        <f ca="1"/>
        <v>Very Common</v>
      </c>
      <c r="D113" s="93">
        <f t="shared" ca="1" si="27"/>
        <v>4</v>
      </c>
      <c r="E113" s="141">
        <f ca="1"/>
        <v>1</v>
      </c>
      <c r="F113" s="141">
        <f ca="1"/>
        <v>1</v>
      </c>
      <c r="G113" s="141">
        <f ca="1"/>
        <v>0</v>
      </c>
      <c r="H113" s="141" t="str">
        <f t="array" aca="1" ref="H113" ca="1">OFFSET(TypeLast,1-D113,0)</f>
        <v>Malachite</v>
      </c>
      <c r="I113" s="139">
        <f t="shared" ca="1" si="28"/>
        <v>117</v>
      </c>
      <c r="J113" s="142" t="str">
        <f ca="1"/>
        <v>Medium</v>
      </c>
      <c r="K113" s="143">
        <f t="shared" ca="1" si="29"/>
        <v>74</v>
      </c>
      <c r="L113" s="140" t="str">
        <f ca="1"/>
        <v>Standard Grade</v>
      </c>
      <c r="M113" s="144" t="str">
        <f t="shared" ca="1" si="30"/>
        <v>Malachite (Medium Standard Grade)</v>
      </c>
      <c r="N113" s="145">
        <f ca="1"/>
        <v>1.17</v>
      </c>
      <c r="P113" s="68">
        <f t="shared" ca="1" si="31"/>
        <v>3</v>
      </c>
      <c r="Q113" s="68" t="str">
        <f t="shared" ca="1" si="32"/>
        <v>Pendant</v>
      </c>
      <c r="R113" s="83">
        <f t="shared" ca="1" si="33"/>
        <v>9</v>
      </c>
      <c r="S113" t="str">
        <f t="shared" ca="1" si="34"/>
        <v>Platinum</v>
      </c>
      <c r="T113" s="83">
        <f t="shared" ca="1" si="35"/>
        <v>100</v>
      </c>
      <c r="U113" t="str">
        <f t="shared" ca="1" si="36"/>
        <v>Masterwork</v>
      </c>
      <c r="V113" s="68" t="str">
        <f t="shared" ca="1" si="37"/>
        <v>Striking</v>
      </c>
      <c r="W113" s="83" t="str">
        <f t="shared" ca="1" si="38"/>
        <v>Striking Platinum Pendant, set with Malachite (Medium Standard Grade)</v>
      </c>
      <c r="X113">
        <f t="shared" ca="1" si="39"/>
        <v>5.0000000000000001E-3</v>
      </c>
      <c r="Y113" s="146">
        <f t="shared" ca="1" si="40"/>
        <v>13.92</v>
      </c>
    </row>
    <row r="114" spans="1:25" ht="12.75">
      <c r="A114" s="141"/>
      <c r="B114" s="139">
        <f t="shared" ca="1" si="26"/>
        <v>27</v>
      </c>
      <c r="C114" s="140" t="str">
        <f ca="1"/>
        <v>Very Common</v>
      </c>
      <c r="D114" s="93">
        <f t="shared" ca="1" si="27"/>
        <v>22</v>
      </c>
      <c r="E114" s="141">
        <f ca="1"/>
        <v>1</v>
      </c>
      <c r="F114" s="141">
        <f ca="1"/>
        <v>3</v>
      </c>
      <c r="G114" s="141">
        <f ca="1"/>
        <v>-20</v>
      </c>
      <c r="H114" s="141" t="str">
        <f t="array" aca="1" ref="H114" ca="1">OFFSET(TypeLast,1-D114,0)</f>
        <v>Obsidian</v>
      </c>
      <c r="I114" s="139">
        <f t="shared" ca="1" si="28"/>
        <v>57</v>
      </c>
      <c r="J114" s="142" t="str">
        <f ca="1"/>
        <v>Small</v>
      </c>
      <c r="K114" s="143">
        <f t="shared" ca="1" si="29"/>
        <v>79</v>
      </c>
      <c r="L114" s="140" t="str">
        <f ca="1"/>
        <v>Superior Grade</v>
      </c>
      <c r="M114" s="144" t="str">
        <f t="shared" ca="1" si="30"/>
        <v>Obsidian (Small Superior Grade)</v>
      </c>
      <c r="N114" s="145">
        <f ca="1"/>
        <v>0.85500000000000009</v>
      </c>
      <c r="P114" s="68">
        <f t="shared" ca="1" si="31"/>
        <v>4</v>
      </c>
      <c r="Q114" s="68" t="str">
        <f t="shared" ca="1" si="32"/>
        <v>Necklace</v>
      </c>
      <c r="R114" s="83">
        <f t="shared" ca="1" si="33"/>
        <v>3</v>
      </c>
      <c r="S114" t="str">
        <f t="shared" ca="1" si="34"/>
        <v>Brass</v>
      </c>
      <c r="T114" s="83">
        <f t="shared" ca="1" si="35"/>
        <v>23</v>
      </c>
      <c r="U114" t="str">
        <f t="shared" ca="1" si="36"/>
        <v>Average</v>
      </c>
      <c r="V114" s="68" t="str">
        <f t="shared" ca="1" si="37"/>
        <v>Common</v>
      </c>
      <c r="W114" s="83" t="str">
        <f t="shared" ca="1" si="38"/>
        <v>Common Brass Necklace, set with Obsidian (Small Superior Grade)</v>
      </c>
      <c r="X114">
        <f t="shared" ca="1" si="39"/>
        <v>0.01</v>
      </c>
      <c r="Y114" s="146">
        <f t="shared" ca="1" si="40"/>
        <v>1.4217</v>
      </c>
    </row>
    <row r="115" spans="1:25" ht="12.75">
      <c r="A115" s="141"/>
      <c r="B115" s="139">
        <f t="shared" ca="1" si="26"/>
        <v>40</v>
      </c>
      <c r="C115" s="140" t="str">
        <f ca="1"/>
        <v>Common</v>
      </c>
      <c r="D115" s="93">
        <f t="shared" ca="1" si="27"/>
        <v>14</v>
      </c>
      <c r="E115" s="141">
        <f ca="1"/>
        <v>2</v>
      </c>
      <c r="F115" s="141">
        <f ca="1"/>
        <v>2</v>
      </c>
      <c r="G115" s="141">
        <f ca="1"/>
        <v>0</v>
      </c>
      <c r="H115" s="141" t="str">
        <f t="array" aca="1" ref="H115" ca="1">OFFSET(TypeLast,1-D115,0)</f>
        <v>Tiger Eye</v>
      </c>
      <c r="I115" s="139">
        <f t="shared" ca="1" si="28"/>
        <v>87</v>
      </c>
      <c r="J115" s="142" t="str">
        <f ca="1"/>
        <v>Medium</v>
      </c>
      <c r="K115" s="143">
        <f t="shared" ca="1" si="29"/>
        <v>99</v>
      </c>
      <c r="L115" s="140" t="str">
        <f ca="1"/>
        <v>Superior Grade</v>
      </c>
      <c r="M115" s="144" t="str">
        <f t="shared" ca="1" si="30"/>
        <v>Tiger Eye (Medium Superior Grade)</v>
      </c>
      <c r="N115" s="145">
        <f ca="1"/>
        <v>13.049999999999999</v>
      </c>
      <c r="P115" s="68">
        <f t="shared" ca="1" si="31"/>
        <v>3</v>
      </c>
      <c r="Q115" s="68" t="str">
        <f t="shared" ca="1" si="32"/>
        <v>Pendant</v>
      </c>
      <c r="R115" s="83">
        <f t="shared" ca="1" si="33"/>
        <v>7</v>
      </c>
      <c r="S115" t="str">
        <f t="shared" ca="1" si="34"/>
        <v>Electrum</v>
      </c>
      <c r="T115" s="83">
        <f t="shared" ca="1" si="35"/>
        <v>79</v>
      </c>
      <c r="U115" t="str">
        <f t="shared" ca="1" si="36"/>
        <v>High</v>
      </c>
      <c r="V115" s="68" t="str">
        <f t="shared" ca="1" si="37"/>
        <v>Superior</v>
      </c>
      <c r="W115" s="83" t="str">
        <f t="shared" ca="1" si="38"/>
        <v>Superior Electrum Pendant, set with Tiger Eye (Medium Superior Grade)</v>
      </c>
      <c r="X115">
        <f t="shared" ca="1" si="39"/>
        <v>5.0000000000000001E-3</v>
      </c>
      <c r="Y115" s="146">
        <f t="shared" ca="1" si="40"/>
        <v>14.7</v>
      </c>
    </row>
    <row r="116" spans="1:25" ht="12.75">
      <c r="A116" s="141"/>
      <c r="B116" s="139">
        <f t="shared" ca="1" si="26"/>
        <v>71</v>
      </c>
      <c r="C116" s="140" t="str">
        <f ca="1"/>
        <v>Uncommon</v>
      </c>
      <c r="D116" s="93">
        <f t="shared" ca="1" si="27"/>
        <v>27</v>
      </c>
      <c r="E116" s="141">
        <f ca="1"/>
        <v>3</v>
      </c>
      <c r="F116" s="141">
        <f ca="1"/>
        <v>4</v>
      </c>
      <c r="G116" s="141">
        <f ca="1"/>
        <v>-10</v>
      </c>
      <c r="H116" s="141" t="str">
        <f t="array" aca="1" ref="H116" ca="1">OFFSET(TypeLast,1-D116,0)</f>
        <v>Garnet</v>
      </c>
      <c r="I116" s="139">
        <f t="shared" ca="1" si="28"/>
        <v>20</v>
      </c>
      <c r="J116" s="142" t="str">
        <f ca="1"/>
        <v>Tiny</v>
      </c>
      <c r="K116" s="143">
        <f t="shared" ca="1" si="29"/>
        <v>29</v>
      </c>
      <c r="L116" s="140" t="str">
        <f ca="1"/>
        <v>Standard Grade</v>
      </c>
      <c r="M116" s="144" t="str">
        <f t="shared" ca="1" si="30"/>
        <v>Garnet (Tiny Standard Grade)</v>
      </c>
      <c r="N116" s="145">
        <f ca="1"/>
        <v>20</v>
      </c>
      <c r="P116" s="68">
        <f t="shared" ca="1" si="31"/>
        <v>1</v>
      </c>
      <c r="Q116" s="68" t="str">
        <f t="shared" ca="1" si="32"/>
        <v>Ring</v>
      </c>
      <c r="R116" s="83">
        <f t="shared" ca="1" si="33"/>
        <v>7</v>
      </c>
      <c r="S116" t="str">
        <f t="shared" ca="1" si="34"/>
        <v>Electrum</v>
      </c>
      <c r="T116" s="83">
        <f t="shared" ca="1" si="35"/>
        <v>24</v>
      </c>
      <c r="U116" t="str">
        <f t="shared" ca="1" si="36"/>
        <v>Average</v>
      </c>
      <c r="V116" s="68" t="str">
        <f t="shared" ca="1" si="37"/>
        <v>Unexceptional</v>
      </c>
      <c r="W116" s="83" t="str">
        <f t="shared" ca="1" si="38"/>
        <v>Unexceptional Electrum Ring, set with Garnet (Tiny Standard Grade)</v>
      </c>
      <c r="X116">
        <f t="shared" ca="1" si="39"/>
        <v>1E-3</v>
      </c>
      <c r="Y116" s="146">
        <f t="shared" ca="1" si="40"/>
        <v>21.03</v>
      </c>
    </row>
    <row r="117" spans="1:25" ht="12.75">
      <c r="A117" s="141"/>
      <c r="B117" s="139">
        <f t="shared" ca="1" si="26"/>
        <v>55</v>
      </c>
      <c r="C117" s="140" t="str">
        <f ca="1"/>
        <v>Common</v>
      </c>
      <c r="D117" s="93">
        <f t="shared" ca="1" si="27"/>
        <v>14</v>
      </c>
      <c r="E117" s="141">
        <f ca="1"/>
        <v>2</v>
      </c>
      <c r="F117" s="141">
        <f ca="1"/>
        <v>2</v>
      </c>
      <c r="G117" s="141">
        <f ca="1"/>
        <v>0</v>
      </c>
      <c r="H117" s="141" t="str">
        <f t="array" aca="1" ref="H117" ca="1">OFFSET(TypeLast,1-D117,0)</f>
        <v>Tiger Eye</v>
      </c>
      <c r="I117" s="139">
        <f t="shared" ca="1" si="28"/>
        <v>101</v>
      </c>
      <c r="J117" s="142" t="str">
        <f ca="1"/>
        <v>Medium</v>
      </c>
      <c r="K117" s="143">
        <f t="shared" ca="1" si="29"/>
        <v>20</v>
      </c>
      <c r="L117" s="140" t="str">
        <f ca="1"/>
        <v>Inferior Grade</v>
      </c>
      <c r="M117" s="144" t="str">
        <f t="shared" ca="1" si="30"/>
        <v>Tiger Eye (Medium Inferior Grade)</v>
      </c>
      <c r="N117" s="145">
        <f ca="1"/>
        <v>7.5749999999999993</v>
      </c>
      <c r="P117" s="68">
        <f t="shared" ca="1" si="31"/>
        <v>24</v>
      </c>
      <c r="Q117" s="68" t="str">
        <f t="shared" ca="1" si="32"/>
        <v>Bowl (Large)</v>
      </c>
      <c r="R117" s="83">
        <f t="shared" ca="1" si="33"/>
        <v>7</v>
      </c>
      <c r="S117" t="str">
        <f t="shared" ca="1" si="34"/>
        <v>Electrum</v>
      </c>
      <c r="T117" s="83">
        <f t="shared" ca="1" si="35"/>
        <v>12</v>
      </c>
      <c r="U117" t="str">
        <f t="shared" ca="1" si="36"/>
        <v>Average</v>
      </c>
      <c r="V117" s="68" t="str">
        <f t="shared" ca="1" si="37"/>
        <v>Mediocre</v>
      </c>
      <c r="W117" s="83" t="str">
        <f t="shared" ca="1" si="38"/>
        <v>Mediocre Electrum Bowl (Large), set with Tiger Eye (Medium Inferior Grade)</v>
      </c>
      <c r="X117">
        <f t="shared" ca="1" si="39"/>
        <v>2</v>
      </c>
      <c r="Y117" s="146">
        <f t="shared" ca="1" si="40"/>
        <v>68.575000000000003</v>
      </c>
    </row>
    <row r="118" spans="1:25" ht="12.75">
      <c r="A118" s="141"/>
      <c r="B118" s="139">
        <f t="shared" ca="1" si="26"/>
        <v>48</v>
      </c>
      <c r="C118" s="140" t="str">
        <f ca="1"/>
        <v>Common</v>
      </c>
      <c r="D118" s="93">
        <f t="shared" ca="1" si="27"/>
        <v>36</v>
      </c>
      <c r="E118" s="141">
        <f ca="1"/>
        <v>2</v>
      </c>
      <c r="F118" s="141">
        <f ca="1"/>
        <v>5</v>
      </c>
      <c r="G118" s="141">
        <f ca="1"/>
        <v>-30</v>
      </c>
      <c r="H118" s="141" t="str">
        <f t="array" aca="1" ref="H118" ca="1">OFFSET(TypeLast,1-D118,0)</f>
        <v>Opal</v>
      </c>
      <c r="I118" s="139">
        <f t="shared" ca="1" si="28"/>
        <v>150</v>
      </c>
      <c r="J118" s="142" t="str">
        <f ca="1"/>
        <v>Huge</v>
      </c>
      <c r="K118" s="143">
        <f t="shared" ca="1" si="29"/>
        <v>1</v>
      </c>
      <c r="L118" s="140" t="str">
        <f ca="1"/>
        <v>Inferior Grade</v>
      </c>
      <c r="M118" s="144" t="str">
        <f t="shared" ca="1" si="30"/>
        <v>Opal (Huge Inferior Grade)</v>
      </c>
      <c r="N118" s="145">
        <f ca="1"/>
        <v>11.25</v>
      </c>
      <c r="P118" s="68">
        <f t="shared" ca="1" si="31"/>
        <v>2</v>
      </c>
      <c r="Q118" s="68" t="str">
        <f t="shared" ca="1" si="32"/>
        <v>Earrings</v>
      </c>
      <c r="R118" s="83">
        <f t="shared" ca="1" si="33"/>
        <v>11</v>
      </c>
      <c r="S118" t="str">
        <f t="shared" ca="1" si="34"/>
        <v>Mithril</v>
      </c>
      <c r="T118" s="83">
        <f t="shared" ca="1" si="35"/>
        <v>13</v>
      </c>
      <c r="U118" t="str">
        <f t="shared" ca="1" si="36"/>
        <v>Average</v>
      </c>
      <c r="V118" s="68" t="str">
        <f t="shared" ca="1" si="37"/>
        <v>Common</v>
      </c>
      <c r="W118" s="83" t="str">
        <f t="shared" ca="1" si="38"/>
        <v>Common Mithril Earrings, set with Opal (Huge Inferior Grade), Pair</v>
      </c>
      <c r="X118">
        <f t="shared" ca="1" si="39"/>
        <v>2E-3</v>
      </c>
      <c r="Y118" s="146">
        <f t="shared" ca="1" si="40"/>
        <v>27.4</v>
      </c>
    </row>
    <row r="119" spans="1:25" ht="12.75">
      <c r="A119" s="141"/>
      <c r="B119" s="139">
        <f t="shared" ca="1" si="26"/>
        <v>44</v>
      </c>
      <c r="C119" s="140" t="str">
        <f ca="1"/>
        <v>Common</v>
      </c>
      <c r="D119" s="93">
        <f t="shared" ca="1" si="27"/>
        <v>32</v>
      </c>
      <c r="E119" s="141">
        <f ca="1"/>
        <v>2</v>
      </c>
      <c r="F119" s="141">
        <f ca="1"/>
        <v>4</v>
      </c>
      <c r="G119" s="141">
        <f ca="1"/>
        <v>-20</v>
      </c>
      <c r="H119" s="141" t="str">
        <f t="array" aca="1" ref="H119" ca="1">OFFSET(TypeLast,1-D119,0)</f>
        <v>Topaz</v>
      </c>
      <c r="I119" s="139">
        <f t="shared" ca="1" si="28"/>
        <v>91</v>
      </c>
      <c r="J119" s="142" t="str">
        <f ca="1"/>
        <v>Medium</v>
      </c>
      <c r="K119" s="143">
        <f t="shared" ca="1" si="29"/>
        <v>1</v>
      </c>
      <c r="L119" s="140" t="str">
        <f ca="1"/>
        <v>Inferior Grade</v>
      </c>
      <c r="M119" s="144" t="str">
        <f t="shared" ca="1" si="30"/>
        <v>Topaz (Medium Inferior Grade)</v>
      </c>
      <c r="N119" s="145">
        <f ca="1"/>
        <v>6.8249999999999993</v>
      </c>
      <c r="P119" s="68">
        <f t="shared" ca="1" si="31"/>
        <v>24</v>
      </c>
      <c r="Q119" s="68" t="str">
        <f t="shared" ca="1" si="32"/>
        <v>Bowl (Large)</v>
      </c>
      <c r="R119" s="83">
        <f t="shared" ca="1" si="33"/>
        <v>3</v>
      </c>
      <c r="S119" t="str">
        <f t="shared" ca="1" si="34"/>
        <v>Brass</v>
      </c>
      <c r="T119" s="83">
        <f t="shared" ca="1" si="35"/>
        <v>86</v>
      </c>
      <c r="U119" t="str">
        <f t="shared" ca="1" si="36"/>
        <v>High</v>
      </c>
      <c r="V119" s="68" t="str">
        <f t="shared" ca="1" si="37"/>
        <v>Splendid</v>
      </c>
      <c r="W119" s="83" t="str">
        <f t="shared" ca="1" si="38"/>
        <v>Splendid Brass Bowl (Large), set with Topaz (Medium Inferior Grade)</v>
      </c>
      <c r="X119">
        <f t="shared" ca="1" si="39"/>
        <v>2</v>
      </c>
      <c r="Y119" s="146">
        <f t="shared" ca="1" si="40"/>
        <v>9.9149999999999991</v>
      </c>
    </row>
    <row r="120" spans="1:25" ht="12.75">
      <c r="A120" s="141"/>
      <c r="B120" s="139">
        <f t="shared" ca="1" si="26"/>
        <v>34</v>
      </c>
      <c r="C120" s="140" t="str">
        <f ca="1"/>
        <v>Common</v>
      </c>
      <c r="D120" s="93">
        <f t="shared" ca="1" si="27"/>
        <v>14</v>
      </c>
      <c r="E120" s="141">
        <f ca="1"/>
        <v>2</v>
      </c>
      <c r="F120" s="141">
        <f ca="1"/>
        <v>2</v>
      </c>
      <c r="G120" s="141">
        <f ca="1"/>
        <v>0</v>
      </c>
      <c r="H120" s="141" t="str">
        <f t="array" aca="1" ref="H120" ca="1">OFFSET(TypeLast,1-D120,0)</f>
        <v>Tiger Eye</v>
      </c>
      <c r="I120" s="139">
        <f t="shared" ca="1" si="28"/>
        <v>111</v>
      </c>
      <c r="J120" s="142" t="str">
        <f ca="1"/>
        <v>Medium</v>
      </c>
      <c r="K120" s="143">
        <f t="shared" ca="1" si="29"/>
        <v>22</v>
      </c>
      <c r="L120" s="140" t="str">
        <f ca="1"/>
        <v>Inferior Grade</v>
      </c>
      <c r="M120" s="144" t="str">
        <f t="shared" ca="1" si="30"/>
        <v>Tiger Eye (Medium Inferior Grade)</v>
      </c>
      <c r="N120" s="145">
        <f ca="1"/>
        <v>8.3250000000000011</v>
      </c>
      <c r="P120" s="68">
        <f t="shared" ca="1" si="31"/>
        <v>5</v>
      </c>
      <c r="Q120" s="68" t="str">
        <f t="shared" ca="1" si="32"/>
        <v>Bracelet</v>
      </c>
      <c r="R120" s="83">
        <f t="shared" ca="1" si="33"/>
        <v>10</v>
      </c>
      <c r="S120" t="str">
        <f t="shared" ca="1" si="34"/>
        <v>Mithril</v>
      </c>
      <c r="T120" s="83">
        <f t="shared" ca="1" si="35"/>
        <v>28</v>
      </c>
      <c r="U120" t="str">
        <f t="shared" ca="1" si="36"/>
        <v>Average</v>
      </c>
      <c r="V120" s="68" t="str">
        <f t="shared" ca="1" si="37"/>
        <v>Common</v>
      </c>
      <c r="W120" s="83" t="str">
        <f t="shared" ca="1" si="38"/>
        <v>Common Mithril Bracelet, set with Tiger Eye (Medium Inferior Grade)</v>
      </c>
      <c r="X120">
        <f t="shared" ca="1" si="39"/>
        <v>0.1</v>
      </c>
      <c r="Y120" s="146">
        <f t="shared" ca="1" si="40"/>
        <v>133.32499999999999</v>
      </c>
    </row>
    <row r="121" spans="1:25" ht="12.75">
      <c r="A121" s="141"/>
      <c r="B121" s="139">
        <f t="shared" ca="1" si="26"/>
        <v>86</v>
      </c>
      <c r="C121" s="140" t="str">
        <f ca="1"/>
        <v>Rare</v>
      </c>
      <c r="D121" s="93">
        <f t="shared" ca="1" si="27"/>
        <v>30</v>
      </c>
      <c r="E121" s="141">
        <f ca="1"/>
        <v>4</v>
      </c>
      <c r="F121" s="141">
        <f ca="1"/>
        <v>4</v>
      </c>
      <c r="G121" s="141">
        <f ca="1"/>
        <v>0</v>
      </c>
      <c r="H121" s="141" t="str">
        <f t="array" aca="1" ref="H121" ca="1">OFFSET(TypeLast,1-D121,0)</f>
        <v>Aquamarine</v>
      </c>
      <c r="I121" s="139">
        <f t="shared" ca="1" si="28"/>
        <v>39</v>
      </c>
      <c r="J121" s="142" t="str">
        <f ca="1"/>
        <v>Tiny</v>
      </c>
      <c r="K121" s="143">
        <f t="shared" ca="1" si="29"/>
        <v>25</v>
      </c>
      <c r="L121" s="140" t="str">
        <f ca="1"/>
        <v>Standard Grade</v>
      </c>
      <c r="M121" s="144" t="str">
        <f t="shared" ca="1" si="30"/>
        <v>Aquamarine (Tiny Standard Grade)</v>
      </c>
      <c r="N121" s="145">
        <f ca="1"/>
        <v>195</v>
      </c>
      <c r="P121" s="68">
        <f t="shared" ca="1" si="31"/>
        <v>3</v>
      </c>
      <c r="Q121" s="68" t="str">
        <f t="shared" ca="1" si="32"/>
        <v>Pendant</v>
      </c>
      <c r="R121" s="83">
        <f t="shared" ca="1" si="33"/>
        <v>9</v>
      </c>
      <c r="S121" t="str">
        <f t="shared" ca="1" si="34"/>
        <v>Platinum</v>
      </c>
      <c r="T121" s="83">
        <f t="shared" ca="1" si="35"/>
        <v>76</v>
      </c>
      <c r="U121" t="str">
        <f t="shared" ca="1" si="36"/>
        <v>High</v>
      </c>
      <c r="V121" s="68" t="str">
        <f t="shared" ca="1" si="37"/>
        <v>Elegant</v>
      </c>
      <c r="W121" s="83" t="str">
        <f t="shared" ca="1" si="38"/>
        <v>Elegant Platinum Pendant, set with Aquamarine (Tiny Standard Grade)</v>
      </c>
      <c r="X121">
        <f t="shared" ca="1" si="39"/>
        <v>5.0000000000000001E-3</v>
      </c>
      <c r="Y121" s="146">
        <f t="shared" ca="1" si="40"/>
        <v>201.75</v>
      </c>
    </row>
    <row r="122" spans="1:25" ht="12.75">
      <c r="A122" s="141"/>
      <c r="B122" s="139">
        <f t="shared" ca="1" si="26"/>
        <v>26</v>
      </c>
      <c r="C122" s="140" t="str">
        <f ca="1"/>
        <v>Very Common</v>
      </c>
      <c r="D122" s="93">
        <f t="shared" ca="1" si="27"/>
        <v>27</v>
      </c>
      <c r="E122" s="141">
        <f ca="1"/>
        <v>1</v>
      </c>
      <c r="F122" s="141">
        <f ca="1"/>
        <v>4</v>
      </c>
      <c r="G122" s="141">
        <f ca="1"/>
        <v>-30</v>
      </c>
      <c r="H122" s="141" t="str">
        <f t="array" aca="1" ref="H122" ca="1">OFFSET(TypeLast,1-D122,0)</f>
        <v>Garnet</v>
      </c>
      <c r="I122" s="139">
        <f t="shared" ca="1" si="28"/>
        <v>57</v>
      </c>
      <c r="J122" s="142" t="str">
        <f ca="1"/>
        <v>Small</v>
      </c>
      <c r="K122" s="143">
        <f t="shared" ca="1" si="29"/>
        <v>34</v>
      </c>
      <c r="L122" s="140" t="str">
        <f ca="1"/>
        <v>Standard Grade</v>
      </c>
      <c r="M122" s="144" t="str">
        <f t="shared" ca="1" si="30"/>
        <v>Garnet (Small Standard Grade)</v>
      </c>
      <c r="N122" s="145">
        <f ca="1"/>
        <v>0.57000000000000006</v>
      </c>
      <c r="P122" s="68">
        <f t="shared" ca="1" si="31"/>
        <v>13</v>
      </c>
      <c r="Q122" s="68" t="str">
        <f t="shared" ca="1" si="32"/>
        <v>Cup</v>
      </c>
      <c r="R122" s="83">
        <f t="shared" ca="1" si="33"/>
        <v>8</v>
      </c>
      <c r="S122" t="str">
        <f t="shared" ca="1" si="34"/>
        <v>Gold</v>
      </c>
      <c r="T122" s="83">
        <f t="shared" ca="1" si="35"/>
        <v>84</v>
      </c>
      <c r="U122" t="str">
        <f t="shared" ca="1" si="36"/>
        <v>High</v>
      </c>
      <c r="V122" s="68" t="str">
        <f t="shared" ca="1" si="37"/>
        <v>Elegant</v>
      </c>
      <c r="W122" s="83" t="str">
        <f t="shared" ca="1" si="38"/>
        <v>Elegant Gold Cup, set with Garnet (Small Standard Grade)</v>
      </c>
      <c r="X122">
        <f t="shared" ca="1" si="39"/>
        <v>0.5</v>
      </c>
      <c r="Y122" s="146">
        <f t="shared" ca="1" si="40"/>
        <v>33.57</v>
      </c>
    </row>
    <row r="123" spans="1:25" ht="12.75">
      <c r="A123" s="141"/>
      <c r="B123" s="139">
        <f t="shared" ca="1" si="26"/>
        <v>88</v>
      </c>
      <c r="C123" s="140" t="str">
        <f ca="1"/>
        <v>Rare</v>
      </c>
      <c r="D123" s="93">
        <f t="shared" ca="1" si="27"/>
        <v>32</v>
      </c>
      <c r="E123" s="141">
        <f ca="1"/>
        <v>4</v>
      </c>
      <c r="F123" s="141">
        <f ca="1"/>
        <v>4</v>
      </c>
      <c r="G123" s="141">
        <f ca="1"/>
        <v>0</v>
      </c>
      <c r="H123" s="141" t="str">
        <f t="array" aca="1" ref="H123" ca="1">OFFSET(TypeLast,1-D123,0)</f>
        <v>Topaz</v>
      </c>
      <c r="I123" s="139">
        <f t="shared" ca="1" si="28"/>
        <v>79</v>
      </c>
      <c r="J123" s="142" t="str">
        <f ca="1"/>
        <v>Medium</v>
      </c>
      <c r="K123" s="143">
        <f t="shared" ca="1" si="29"/>
        <v>50</v>
      </c>
      <c r="L123" s="140" t="str">
        <f ca="1"/>
        <v>Standard Grade</v>
      </c>
      <c r="M123" s="144" t="str">
        <f t="shared" ca="1" si="30"/>
        <v>Topaz (Medium Standard Grade)</v>
      </c>
      <c r="N123" s="145">
        <f ca="1"/>
        <v>395</v>
      </c>
      <c r="P123" s="68">
        <f t="shared" ca="1" si="31"/>
        <v>4</v>
      </c>
      <c r="Q123" s="68" t="str">
        <f t="shared" ca="1" si="32"/>
        <v>Necklace</v>
      </c>
      <c r="R123" s="83">
        <f t="shared" ca="1" si="33"/>
        <v>3</v>
      </c>
      <c r="S123" t="str">
        <f t="shared" ca="1" si="34"/>
        <v>Brass</v>
      </c>
      <c r="T123" s="83">
        <f t="shared" ca="1" si="35"/>
        <v>69</v>
      </c>
      <c r="U123" t="str">
        <f t="shared" ca="1" si="36"/>
        <v>High</v>
      </c>
      <c r="V123" s="68" t="str">
        <f t="shared" ca="1" si="37"/>
        <v>Elegant</v>
      </c>
      <c r="W123" s="83" t="str">
        <f t="shared" ca="1" si="38"/>
        <v>Elegant Brass Necklace, set with Topaz (Medium Standard Grade)</v>
      </c>
      <c r="X123">
        <f t="shared" ca="1" si="39"/>
        <v>0.01</v>
      </c>
      <c r="Y123" s="146">
        <f t="shared" ca="1" si="40"/>
        <v>396.69170000000003</v>
      </c>
    </row>
    <row r="124" spans="1:25" ht="12.75">
      <c r="A124" s="141"/>
      <c r="B124" s="139">
        <f t="shared" ca="1" si="26"/>
        <v>35</v>
      </c>
      <c r="C124" s="140" t="str">
        <f ca="1"/>
        <v>Common</v>
      </c>
      <c r="D124" s="93">
        <f t="shared" ca="1" si="27"/>
        <v>32</v>
      </c>
      <c r="E124" s="141">
        <f ca="1"/>
        <v>2</v>
      </c>
      <c r="F124" s="141">
        <f ca="1"/>
        <v>4</v>
      </c>
      <c r="G124" s="141">
        <f ca="1"/>
        <v>-20</v>
      </c>
      <c r="H124" s="141" t="str">
        <f t="array" aca="1" ref="H124" ca="1">OFFSET(TypeLast,1-D124,0)</f>
        <v>Topaz</v>
      </c>
      <c r="I124" s="139">
        <f t="shared" ca="1" si="28"/>
        <v>27</v>
      </c>
      <c r="J124" s="142" t="str">
        <f ca="1"/>
        <v>Tiny</v>
      </c>
      <c r="K124" s="143">
        <f t="shared" ca="1" si="29"/>
        <v>70</v>
      </c>
      <c r="L124" s="140" t="str">
        <f ca="1"/>
        <v>Standard Grade</v>
      </c>
      <c r="M124" s="144" t="str">
        <f t="shared" ca="1" si="30"/>
        <v>Topaz (Tiny Standard Grade)</v>
      </c>
      <c r="N124" s="145">
        <f ca="1"/>
        <v>2.7</v>
      </c>
      <c r="P124" s="68">
        <f t="shared" ca="1" si="31"/>
        <v>15</v>
      </c>
      <c r="Q124" s="68" t="str">
        <f t="shared" ca="1" si="32"/>
        <v>Brooch</v>
      </c>
      <c r="R124" s="83">
        <f t="shared" ca="1" si="33"/>
        <v>5</v>
      </c>
      <c r="S124" t="str">
        <f t="shared" ca="1" si="34"/>
        <v>Copper</v>
      </c>
      <c r="T124" s="83">
        <f t="shared" ca="1" si="35"/>
        <v>71</v>
      </c>
      <c r="U124" t="str">
        <f t="shared" ca="1" si="36"/>
        <v>High</v>
      </c>
      <c r="V124" s="68" t="str">
        <f t="shared" ca="1" si="37"/>
        <v>Fashionable</v>
      </c>
      <c r="W124" s="83" t="str">
        <f t="shared" ca="1" si="38"/>
        <v>Fashionable Copper Brooch, set with Topaz (Tiny Standard Grade)</v>
      </c>
      <c r="X124">
        <f t="shared" ca="1" si="39"/>
        <v>0.05</v>
      </c>
      <c r="Y124" s="146">
        <f t="shared" ca="1" si="40"/>
        <v>4.2300000000000004</v>
      </c>
    </row>
    <row r="125" spans="1:25" ht="12.75">
      <c r="A125" s="141"/>
      <c r="B125" s="139">
        <f t="shared" ca="1" si="26"/>
        <v>80</v>
      </c>
      <c r="C125" s="140" t="str">
        <f ca="1"/>
        <v>Uncommon</v>
      </c>
      <c r="D125" s="93">
        <f t="shared" ca="1" si="27"/>
        <v>24</v>
      </c>
      <c r="E125" s="141">
        <f ca="1"/>
        <v>3</v>
      </c>
      <c r="F125" s="141">
        <f ca="1"/>
        <v>3</v>
      </c>
      <c r="G125" s="141">
        <f ca="1"/>
        <v>0</v>
      </c>
      <c r="H125" s="141" t="str">
        <f t="array" aca="1" ref="H125" ca="1">OFFSET(TypeLast,1-D125,0)</f>
        <v>Coral</v>
      </c>
      <c r="I125" s="139">
        <f t="shared" ca="1" si="28"/>
        <v>76</v>
      </c>
      <c r="J125" s="142" t="str">
        <f ca="1"/>
        <v>Medium</v>
      </c>
      <c r="K125" s="143">
        <f t="shared" ca="1" si="29"/>
        <v>54</v>
      </c>
      <c r="L125" s="140" t="str">
        <f ca="1"/>
        <v>Standard Grade</v>
      </c>
      <c r="M125" s="144" t="str">
        <f t="shared" ca="1" si="30"/>
        <v>Coral (Medium Standard Grade)</v>
      </c>
      <c r="N125" s="145">
        <f ca="1"/>
        <v>76</v>
      </c>
      <c r="P125" s="68">
        <f t="shared" ca="1" si="31"/>
        <v>9</v>
      </c>
      <c r="Q125" s="68" t="str">
        <f t="shared" ca="1" si="32"/>
        <v>Serving Fork</v>
      </c>
      <c r="R125" s="83">
        <f t="shared" ca="1" si="33"/>
        <v>4</v>
      </c>
      <c r="S125" t="str">
        <f t="shared" ca="1" si="34"/>
        <v>Bronze</v>
      </c>
      <c r="T125" s="83">
        <f t="shared" ca="1" si="35"/>
        <v>62</v>
      </c>
      <c r="U125" t="str">
        <f t="shared" ca="1" si="36"/>
        <v>Average</v>
      </c>
      <c r="V125" s="68" t="str">
        <f t="shared" ca="1" si="37"/>
        <v>Unexceptional</v>
      </c>
      <c r="W125" s="83" t="str">
        <f t="shared" ca="1" si="38"/>
        <v>Unexceptional Bronze Serving Fork, set with Coral (Medium Standard Grade)</v>
      </c>
      <c r="X125">
        <f t="shared" ca="1" si="39"/>
        <v>0.5</v>
      </c>
      <c r="Y125" s="146">
        <f t="shared" ca="1" si="40"/>
        <v>77.239999999999995</v>
      </c>
    </row>
    <row r="126" spans="1:25" ht="12.75">
      <c r="A126" s="141"/>
      <c r="B126" s="139">
        <f t="shared" ca="1" si="26"/>
        <v>23</v>
      </c>
      <c r="C126" s="140" t="str">
        <f ca="1"/>
        <v>Very Common</v>
      </c>
      <c r="D126" s="93">
        <f t="shared" ca="1" si="27"/>
        <v>19</v>
      </c>
      <c r="E126" s="141">
        <f ca="1"/>
        <v>1</v>
      </c>
      <c r="F126" s="141">
        <f ca="1"/>
        <v>3</v>
      </c>
      <c r="G126" s="141">
        <f ca="1"/>
        <v>-20</v>
      </c>
      <c r="H126" s="141" t="str">
        <f t="array" aca="1" ref="H126" ca="1">OFFSET(TypeLast,1-D126,0)</f>
        <v>Chacedony</v>
      </c>
      <c r="I126" s="139">
        <f t="shared" ca="1" si="28"/>
        <v>90</v>
      </c>
      <c r="J126" s="142" t="str">
        <f ca="1"/>
        <v>Medium</v>
      </c>
      <c r="K126" s="143">
        <f t="shared" ca="1" si="29"/>
        <v>12</v>
      </c>
      <c r="L126" s="140" t="str">
        <f ca="1"/>
        <v>Inferior Grade</v>
      </c>
      <c r="M126" s="144" t="str">
        <f t="shared" ca="1" si="30"/>
        <v>Chacedony (Medium Inferior Grade)</v>
      </c>
      <c r="N126" s="145">
        <f ca="1"/>
        <v>0.67500000000000004</v>
      </c>
      <c r="P126" s="68">
        <f t="shared" ca="1" si="31"/>
        <v>1</v>
      </c>
      <c r="Q126" s="68" t="str">
        <f t="shared" ca="1" si="32"/>
        <v>Ring</v>
      </c>
      <c r="R126" s="83">
        <f t="shared" ca="1" si="33"/>
        <v>3</v>
      </c>
      <c r="S126" t="str">
        <f t="shared" ca="1" si="34"/>
        <v>Brass</v>
      </c>
      <c r="T126" s="83">
        <f t="shared" ca="1" si="35"/>
        <v>96</v>
      </c>
      <c r="U126" t="str">
        <f t="shared" ca="1" si="36"/>
        <v>Masterwork</v>
      </c>
      <c r="V126" s="68" t="str">
        <f t="shared" ca="1" si="37"/>
        <v>Extraordinary</v>
      </c>
      <c r="W126" s="83" t="str">
        <f t="shared" ca="1" si="38"/>
        <v>Extraordinary Brass Ring, set with Chacedony (Medium Inferior Grade)</v>
      </c>
      <c r="X126">
        <f t="shared" ca="1" si="39"/>
        <v>1E-3</v>
      </c>
      <c r="Y126" s="146">
        <f t="shared" ca="1" si="40"/>
        <v>7.4254199999999999</v>
      </c>
    </row>
    <row r="127" spans="1:25" ht="12.75">
      <c r="A127" s="141"/>
      <c r="B127" s="139">
        <f t="shared" ca="1" si="26"/>
        <v>77</v>
      </c>
      <c r="C127" s="140" t="str">
        <f ca="1"/>
        <v>Uncommon</v>
      </c>
      <c r="D127" s="93">
        <f t="shared" ca="1" si="27"/>
        <v>29</v>
      </c>
      <c r="E127" s="141">
        <f ca="1"/>
        <v>3</v>
      </c>
      <c r="F127" s="141">
        <f ca="1"/>
        <v>4</v>
      </c>
      <c r="G127" s="141">
        <f ca="1"/>
        <v>-10</v>
      </c>
      <c r="H127" s="141" t="str">
        <f t="array" aca="1" ref="H127" ca="1">OFFSET(TypeLast,1-D127,0)</f>
        <v>Jade</v>
      </c>
      <c r="I127" s="139">
        <f t="shared" ca="1" si="28"/>
        <v>81</v>
      </c>
      <c r="J127" s="142" t="str">
        <f ca="1"/>
        <v>Medium</v>
      </c>
      <c r="K127" s="143">
        <f t="shared" ca="1" si="29"/>
        <v>72</v>
      </c>
      <c r="L127" s="140" t="str">
        <f ca="1"/>
        <v>Standard Grade</v>
      </c>
      <c r="M127" s="144" t="str">
        <f t="shared" ca="1" si="30"/>
        <v>Jade (Medium Standard Grade)</v>
      </c>
      <c r="N127" s="145">
        <f ca="1"/>
        <v>81</v>
      </c>
      <c r="P127" s="68">
        <f t="shared" ca="1" si="31"/>
        <v>13</v>
      </c>
      <c r="Q127" s="68" t="str">
        <f t="shared" ca="1" si="32"/>
        <v>Cup</v>
      </c>
      <c r="R127" s="83">
        <f t="shared" ca="1" si="33"/>
        <v>4</v>
      </c>
      <c r="S127" t="str">
        <f t="shared" ca="1" si="34"/>
        <v>Bronze</v>
      </c>
      <c r="T127" s="83">
        <f t="shared" ca="1" si="35"/>
        <v>49</v>
      </c>
      <c r="U127" t="str">
        <f t="shared" ca="1" si="36"/>
        <v>Average</v>
      </c>
      <c r="V127" s="68" t="str">
        <f t="shared" ca="1" si="37"/>
        <v>Fair</v>
      </c>
      <c r="W127" s="83" t="str">
        <f t="shared" ca="1" si="38"/>
        <v>Fair Bronze Cup, set with Jade (Medium Standard Grade)</v>
      </c>
      <c r="X127">
        <f t="shared" ca="1" si="39"/>
        <v>0.5</v>
      </c>
      <c r="Y127" s="146">
        <f t="shared" ca="1" si="40"/>
        <v>82.24</v>
      </c>
    </row>
    <row r="128" spans="1:25" ht="12.75">
      <c r="A128" s="141"/>
      <c r="B128" s="139">
        <f t="shared" ca="1" si="26"/>
        <v>26</v>
      </c>
      <c r="C128" s="140" t="str">
        <f ca="1"/>
        <v>Very Common</v>
      </c>
      <c r="D128" s="93">
        <f t="shared" ca="1" si="27"/>
        <v>9</v>
      </c>
      <c r="E128" s="141">
        <f ca="1"/>
        <v>1</v>
      </c>
      <c r="F128" s="141">
        <f ca="1"/>
        <v>1</v>
      </c>
      <c r="G128" s="141">
        <f ca="1"/>
        <v>0</v>
      </c>
      <c r="H128" s="141" t="str">
        <f t="array" aca="1" ref="H128" ca="1">OFFSET(TypeLast,1-D128,0)</f>
        <v>Rock Crystal</v>
      </c>
      <c r="I128" s="139">
        <f t="shared" ca="1" si="28"/>
        <v>81</v>
      </c>
      <c r="J128" s="142" t="str">
        <f ca="1"/>
        <v>Medium</v>
      </c>
      <c r="K128" s="143">
        <f t="shared" ca="1" si="29"/>
        <v>36</v>
      </c>
      <c r="L128" s="140" t="str">
        <f ca="1"/>
        <v>Standard Grade</v>
      </c>
      <c r="M128" s="144" t="str">
        <f t="shared" ca="1" si="30"/>
        <v>Rock Crystal (Medium Standard Grade)</v>
      </c>
      <c r="N128" s="145">
        <f ca="1"/>
        <v>0.81</v>
      </c>
      <c r="P128" s="68">
        <f t="shared" ca="1" si="31"/>
        <v>4</v>
      </c>
      <c r="Q128" s="68" t="str">
        <f t="shared" ca="1" si="32"/>
        <v>Necklace</v>
      </c>
      <c r="R128" s="83">
        <f t="shared" ca="1" si="33"/>
        <v>11</v>
      </c>
      <c r="S128" t="str">
        <f t="shared" ca="1" si="34"/>
        <v>Mithril</v>
      </c>
      <c r="T128" s="83">
        <f t="shared" ca="1" si="35"/>
        <v>82</v>
      </c>
      <c r="U128" t="str">
        <f t="shared" ca="1" si="36"/>
        <v>High</v>
      </c>
      <c r="V128" s="68" t="str">
        <f t="shared" ca="1" si="37"/>
        <v>Fine</v>
      </c>
      <c r="W128" s="83" t="str">
        <f t="shared" ca="1" si="38"/>
        <v>Fine Mithril Necklace, set with Rock Crystal (Medium Standard Grade)</v>
      </c>
      <c r="X128">
        <f t="shared" ca="1" si="39"/>
        <v>0.01</v>
      </c>
      <c r="Y128" s="146">
        <f t="shared" ca="1" si="40"/>
        <v>24.06</v>
      </c>
    </row>
    <row r="129" spans="1:25" ht="12.75">
      <c r="A129" s="148"/>
      <c r="B129" s="149">
        <f t="shared" ca="1" si="26"/>
        <v>52</v>
      </c>
      <c r="C129" s="150" t="str">
        <f ca="1"/>
        <v>Common</v>
      </c>
      <c r="D129" s="100">
        <f t="shared" ca="1" si="27"/>
        <v>11</v>
      </c>
      <c r="E129" s="148">
        <f ca="1"/>
        <v>2</v>
      </c>
      <c r="F129" s="148">
        <f ca="1"/>
        <v>2</v>
      </c>
      <c r="G129" s="148">
        <f ca="1"/>
        <v>0</v>
      </c>
      <c r="H129" s="148" t="str">
        <f t="array" aca="1" ref="H129" ca="1">OFFSET(TypeLast,1-D129,0)</f>
        <v>Pearl</v>
      </c>
      <c r="I129" s="149">
        <f t="shared" ca="1" si="28"/>
        <v>132</v>
      </c>
      <c r="J129" s="151" t="str">
        <f ca="1"/>
        <v>Large</v>
      </c>
      <c r="K129" s="152">
        <f t="shared" ca="1" si="29"/>
        <v>81</v>
      </c>
      <c r="L129" s="150" t="str">
        <f ca="1"/>
        <v>Superior Grade</v>
      </c>
      <c r="M129" s="153" t="str">
        <f t="shared" ca="1" si="30"/>
        <v>Pearl (Large Superior Grade)</v>
      </c>
      <c r="N129" s="154">
        <f ca="1"/>
        <v>19.8</v>
      </c>
      <c r="P129" s="74">
        <f t="shared" ca="1" si="31"/>
        <v>9</v>
      </c>
      <c r="Q129" s="74" t="str">
        <f t="shared" ca="1" si="32"/>
        <v>Serving Fork</v>
      </c>
      <c r="R129" s="86">
        <f t="shared" ca="1" si="33"/>
        <v>7</v>
      </c>
      <c r="S129" s="38" t="str">
        <f t="shared" ca="1" si="34"/>
        <v>Electrum</v>
      </c>
      <c r="T129" s="86">
        <f t="shared" ca="1" si="35"/>
        <v>71</v>
      </c>
      <c r="U129" s="38" t="str">
        <f t="shared" ca="1" si="36"/>
        <v>High</v>
      </c>
      <c r="V129" s="74" t="str">
        <f t="shared" ca="1" si="37"/>
        <v>Splendid</v>
      </c>
      <c r="W129" s="86" t="str">
        <f t="shared" ca="1" si="38"/>
        <v>Splendid Electrum Serving Fork, set with Pearl (Large Superior Grade)</v>
      </c>
      <c r="X129" s="38">
        <f t="shared" ca="1" si="39"/>
        <v>0.5</v>
      </c>
      <c r="Y129" s="155">
        <f t="shared" ca="1" si="40"/>
        <v>37.799999999999997</v>
      </c>
    </row>
    <row r="131" spans="1:25" ht="12.75">
      <c r="A131" s="125" t="s">
        <v>234</v>
      </c>
      <c r="B131" s="126"/>
      <c r="C131" s="126"/>
      <c r="D131" s="126"/>
      <c r="E131" s="126"/>
      <c r="F131" s="126"/>
      <c r="G131" s="126"/>
      <c r="H131" s="126"/>
      <c r="I131" s="126"/>
      <c r="J131" s="126"/>
      <c r="K131" s="126"/>
      <c r="L131" s="126"/>
      <c r="M131" s="126"/>
      <c r="N131" s="127"/>
      <c r="O131" s="43"/>
      <c r="P131" s="228" t="s">
        <v>235</v>
      </c>
      <c r="Q131" s="214"/>
      <c r="R131" s="214"/>
      <c r="S131" s="214"/>
      <c r="T131" s="214"/>
      <c r="U131" s="214"/>
      <c r="V131" s="214"/>
      <c r="W131" s="214"/>
      <c r="X131" s="214"/>
      <c r="Y131" s="215"/>
    </row>
    <row r="132" spans="1:25" ht="12.75">
      <c r="A132" s="128"/>
      <c r="B132" s="24" t="s">
        <v>220</v>
      </c>
      <c r="C132" s="24" t="s">
        <v>81</v>
      </c>
      <c r="D132" s="24" t="s">
        <v>221</v>
      </c>
      <c r="E132" s="24" t="s">
        <v>222</v>
      </c>
      <c r="F132" s="24" t="s">
        <v>223</v>
      </c>
      <c r="G132" s="24" t="s">
        <v>224</v>
      </c>
      <c r="H132" s="24" t="s">
        <v>84</v>
      </c>
      <c r="I132" s="24" t="s">
        <v>225</v>
      </c>
      <c r="J132" s="24" t="s">
        <v>226</v>
      </c>
      <c r="K132" s="24" t="s">
        <v>227</v>
      </c>
      <c r="L132" s="24" t="s">
        <v>215</v>
      </c>
      <c r="M132" s="24" t="s">
        <v>32</v>
      </c>
      <c r="N132" s="24" t="s">
        <v>33</v>
      </c>
      <c r="O132" s="43"/>
      <c r="P132" s="24" t="s">
        <v>55</v>
      </c>
      <c r="Q132" s="24" t="s">
        <v>84</v>
      </c>
      <c r="R132" s="24" t="s">
        <v>56</v>
      </c>
      <c r="S132" s="24" t="s">
        <v>73</v>
      </c>
      <c r="T132" s="24" t="s">
        <v>57</v>
      </c>
      <c r="U132" s="24" t="s">
        <v>215</v>
      </c>
      <c r="V132" s="43" t="s">
        <v>228</v>
      </c>
      <c r="W132" s="24" t="s">
        <v>32</v>
      </c>
      <c r="X132" s="24" t="s">
        <v>58</v>
      </c>
      <c r="Y132" s="24" t="s">
        <v>33</v>
      </c>
    </row>
    <row r="133" spans="1:25" ht="12.75">
      <c r="A133" s="24" t="s">
        <v>229</v>
      </c>
      <c r="B133" s="129">
        <f ca="1">WealthMod*100+A135</f>
        <v>10</v>
      </c>
      <c r="C133" s="82"/>
      <c r="D133" s="60"/>
      <c r="E133" s="82"/>
      <c r="F133" s="82"/>
      <c r="G133" s="82"/>
      <c r="H133" s="82"/>
      <c r="I133" s="129">
        <f ca="1">WealthMod*100+A135</f>
        <v>10</v>
      </c>
      <c r="J133" s="82"/>
      <c r="K133" s="129">
        <f ca="1">WealthMod*100+A135</f>
        <v>10</v>
      </c>
      <c r="L133" s="82"/>
      <c r="M133" s="82"/>
      <c r="N133" s="82"/>
      <c r="O133" s="43"/>
      <c r="P133" s="24" t="s">
        <v>230</v>
      </c>
      <c r="Q133" s="82"/>
      <c r="R133" s="82">
        <f ca="1">ROUND((WealthMod+A135*0.01)*MaterialCount,0)</f>
        <v>1</v>
      </c>
      <c r="S133" s="77"/>
      <c r="T133" s="82">
        <f ca="1">WealthMod*100+A135</f>
        <v>10</v>
      </c>
      <c r="U133" s="77"/>
      <c r="V133" s="104"/>
      <c r="W133" s="82"/>
      <c r="X133" s="77"/>
      <c r="Y133" s="82"/>
    </row>
    <row r="134" spans="1:25" ht="12.75">
      <c r="A134" s="130" t="s">
        <v>231</v>
      </c>
      <c r="B134" s="156">
        <f t="shared" ref="B134:B158" ca="1" si="41">MAX(MIN(ROUND(RANDBETWEEN(1,100)+$B$133,0),100),1)</f>
        <v>40</v>
      </c>
      <c r="C134" s="157" t="str">
        <f t="array" aca="1" ref="C134:C158" ca="1">VLOOKUP(B134:B158,ProbR,2)</f>
        <v>Common</v>
      </c>
      <c r="D134" s="91">
        <f t="shared" ref="D134:D158" ca="1" si="42">RANDBETWEEN(OFFSET(TypeRef,MATCH(C134,TypeRange,0)+1,1),OFFSET(TypeRef,MATCH(C134,TypeRange,0),1))</f>
        <v>20</v>
      </c>
      <c r="E134" s="133">
        <f t="array" aca="1" ref="E134:E158" ca="1">VLOOKUP(C134:C158,StoneV,3,FALSE)</f>
        <v>2</v>
      </c>
      <c r="F134" s="133">
        <f t="array" aca="1" ref="F134:F158" ca="1">IF(D134:D158&lt;D$26,C$25,IF(D134:D158&lt;D$27,C$26,IF(D134:D158&lt;D$28,C$27,IF(D134:D158&lt;D$29,C$28,IF(D134:D158&lt;D$30,C$29,C$30)))))</f>
        <v>3</v>
      </c>
      <c r="G134" s="133">
        <f t="array" aca="1" ref="G134:G158" ca="1">(E134:E158-F134:F158)*10</f>
        <v>-10</v>
      </c>
      <c r="H134" s="133" t="str">
        <f t="array" aca="1" ref="H134" ca="1">OFFSET(TypeLast,1-D134,0)</f>
        <v>Turquoise</v>
      </c>
      <c r="I134" s="131">
        <f t="shared" ref="I134:I158" ca="1" si="43">MAX(MIN(IF(RANDBETWEEN(0,1)=0,RANDBETWEEN(1,75)+RANDBETWEEN(1,75),(RANDBETWEEN(1,100)+RANDBETWEEN(0,100)))+$I$133+G134,200),1)</f>
        <v>138</v>
      </c>
      <c r="J134" s="134" t="str">
        <f t="array" aca="1" ref="J134:J158" ca="1">IF(I134:I158&lt;50,"Tiny",IF(I134:I158&lt;75,"Small",IF(I134:I158&lt;125,"Medium",IF(I134:I158&lt;150,"Large","Huge"))))</f>
        <v>Large</v>
      </c>
      <c r="K134" s="135">
        <f t="shared" ref="K134:K158" ca="1" si="44">MAX(MIN(RANDBETWEEN(1,100)+K$133+G134,100),1)</f>
        <v>37</v>
      </c>
      <c r="L134" s="132" t="str">
        <f t="array" aca="1" ref="L134:L158" ca="1">VLOOKUP(K134:K158,StoneQ,2,TRUE)</f>
        <v>Standard Grade</v>
      </c>
      <c r="M134" s="136" t="str">
        <f t="shared" ref="M134:M158" ca="1" si="45">CONCATENATE(H134," (",J134," ",L134,")")</f>
        <v>Turquoise (Large Standard Grade)</v>
      </c>
      <c r="N134" s="137">
        <f t="array" aca="1" ref="N134:N158" ca="1">VLOOKUP(C134:C158,StoneV,2,FALSE)*(I134:I158*0.01)*VLOOKUP(K134:K158,StoneQ,3,TRUE)</f>
        <v>13.8</v>
      </c>
      <c r="O134" s="158"/>
      <c r="P134" s="159">
        <f t="shared" ref="P134:P145" ca="1" si="46">IF(RANDBETWEEN(1,2)=1,RANDBETWEEN(1,ItemCommonCount),IF(RANDBETWEEN(1,2)=1,(RANDBETWEEN(1,ItemUncommonCount)+ItemCommonCount),IF(RANDBETWEEN(1,2)=1,(RANDBETWEEN(1,ItemRareCount)+ItemCommonCount+ItemUncommonCount),(RANDBETWEEN(1,ItemUniqueCount)+ItemCommonCount+ItemUncommonCount+ItemRareCount))))</f>
        <v>1</v>
      </c>
      <c r="Q134" s="82" t="str">
        <f t="shared" ref="Q134:Q145" ca="1" si="47">OFFSET(ItemTypeRef,P134,0)</f>
        <v>Ring</v>
      </c>
      <c r="R134" s="28">
        <f ca="1">RANDBETWEEN(1,MaterialCount)+$R$133</f>
        <v>8</v>
      </c>
      <c r="S134" s="46" t="str">
        <f t="shared" ref="S134:S145" ca="1" si="48">IF(R134&lt;1,OFFSET(MaterialRef,1,0),IF(R134&lt;=MaterialCount,OFFSET(MaterialRef,R134,0),OFFSET(MaterialRef,MaterialCount,0)))</f>
        <v>Gold</v>
      </c>
      <c r="T134" s="82">
        <f t="shared" ref="T134:T145" ca="1" si="49">RANDBETWEEN(1,100)+$T$133</f>
        <v>93</v>
      </c>
      <c r="U134" s="28" t="str">
        <f t="shared" ref="U134:U145" ca="1" si="50">IF(T134&lt;OFFSET(ProbQ,1,3),OFFSET(ProbQ,1,0),(IF(T134&lt;OFFSET(ProbQ,2,3),OFFSET(ProbQ,2,0),IF(T134&lt;OFFSET(ProbQ,3,3),OFFSET(ProbQ,3,0),OFFSET(ProbQ,4,0)))))</f>
        <v>Masterwork</v>
      </c>
      <c r="V134" s="46" t="str">
        <f t="shared" ref="V134:V145" ca="1" si="51">OFFSET(CraftRef,RANDBETWEEN(1,CraftNum),MATCH($U134,CraftRange,0)-1)</f>
        <v>Striking</v>
      </c>
      <c r="W134" s="82" t="str">
        <f t="shared" ref="W134:W145" ca="1" si="52">CONCATENATE(V134," ",S134," ",Q134,", set with ",Q148," ",R148,IF(T148=0,"",CONCATENATE(" and ",T148," ",U148)),IF(Q134="Earrings",", Pair",""))</f>
        <v>Striking Gold Ring, set with 1 Star Ruby (Medium Flawless) and 1 Pearl (Small Standard Grade)</v>
      </c>
      <c r="X134" s="27">
        <f t="shared" ref="X134:X145" ca="1" si="53">OFFSET(ItemTypeRef,MATCH(Q134,ItemTypeRange,0),1)</f>
        <v>1E-3</v>
      </c>
      <c r="Y134" s="138">
        <f t="shared" ref="Y134:Y145" ca="1" si="54">(X134*OFFSET(MaterialRef,MATCH($S134,MaterialRange,0),2)*OFFSET(MaterialRef,MATCH($S134,MaterialRange,0),1))+(OFFSET(MaterialRef,MATCH($S134,MaterialRange,0),3)*OFFSET(QRef,MATCH(U134,QRange,0),1)*OFFSET($P$15,$P134,2)/2)+(((Q148*S148)+(T148*V148))*IF(Q134="Earrings",2,1))</f>
        <v>8178.0600000000013</v>
      </c>
    </row>
    <row r="135" spans="1:25" ht="12.75">
      <c r="A135" s="130">
        <v>10</v>
      </c>
      <c r="B135" s="160">
        <f t="shared" ca="1" si="41"/>
        <v>84</v>
      </c>
      <c r="C135" s="140" t="str">
        <f ca="1"/>
        <v>Uncommon</v>
      </c>
      <c r="D135" s="93">
        <f t="shared" ca="1" si="42"/>
        <v>35</v>
      </c>
      <c r="E135" s="141">
        <f ca="1"/>
        <v>3</v>
      </c>
      <c r="F135" s="141">
        <f ca="1"/>
        <v>5</v>
      </c>
      <c r="G135" s="141">
        <f ca="1"/>
        <v>-20</v>
      </c>
      <c r="H135" s="141" t="str">
        <f t="array" aca="1" ref="H135" ca="1">OFFSET(TypeLast,1-D135,0)</f>
        <v>Sapphire</v>
      </c>
      <c r="I135" s="139">
        <f t="shared" ca="1" si="43"/>
        <v>43</v>
      </c>
      <c r="J135" s="142" t="str">
        <f ca="1"/>
        <v>Tiny</v>
      </c>
      <c r="K135" s="143">
        <f t="shared" ca="1" si="44"/>
        <v>44</v>
      </c>
      <c r="L135" s="140" t="str">
        <f ca="1"/>
        <v>Standard Grade</v>
      </c>
      <c r="M135" s="144" t="str">
        <f t="shared" ca="1" si="45"/>
        <v>Sapphire (Tiny Standard Grade)</v>
      </c>
      <c r="N135" s="145">
        <f ca="1"/>
        <v>43</v>
      </c>
      <c r="O135" s="158"/>
      <c r="P135" s="161">
        <f t="shared" ca="1" si="46"/>
        <v>20</v>
      </c>
      <c r="Q135" s="83" t="str">
        <f t="shared" ca="1" si="47"/>
        <v>Bowl</v>
      </c>
      <c r="R135" s="32">
        <f t="shared" ref="R135:R145" ca="1" si="55">RANDBETWEEN(1,$G$24)+RANDBETWEEN(0,$B$53)+$R$75</f>
        <v>4</v>
      </c>
      <c r="S135" s="68" t="str">
        <f t="shared" ca="1" si="48"/>
        <v>Bronze</v>
      </c>
      <c r="T135" s="83">
        <f t="shared" ca="1" si="49"/>
        <v>105</v>
      </c>
      <c r="U135" s="32" t="str">
        <f t="shared" ca="1" si="50"/>
        <v>Masterwork</v>
      </c>
      <c r="V135" s="68" t="str">
        <f t="shared" ca="1" si="51"/>
        <v>Exquisite</v>
      </c>
      <c r="W135" s="83" t="str">
        <f t="shared" ca="1" si="52"/>
        <v>Exquisite Bronze Bowl, set with 1 Sapphire (Medium Superior Grade) and 5 Onyx (Medium Inferior Grade)</v>
      </c>
      <c r="X135">
        <f t="shared" ca="1" si="53"/>
        <v>1.5</v>
      </c>
      <c r="Y135" s="146">
        <f t="shared" ca="1" si="54"/>
        <v>1634.97</v>
      </c>
    </row>
    <row r="136" spans="1:25" ht="12.75">
      <c r="A136" s="147"/>
      <c r="B136" s="160">
        <f t="shared" ca="1" si="41"/>
        <v>67</v>
      </c>
      <c r="C136" s="140" t="str">
        <f ca="1"/>
        <v>Uncommon</v>
      </c>
      <c r="D136" s="93">
        <f t="shared" ca="1" si="42"/>
        <v>31</v>
      </c>
      <c r="E136" s="141">
        <f ca="1"/>
        <v>3</v>
      </c>
      <c r="F136" s="141">
        <f ca="1"/>
        <v>4</v>
      </c>
      <c r="G136" s="141">
        <f ca="1"/>
        <v>-10</v>
      </c>
      <c r="H136" s="141" t="str">
        <f t="array" aca="1" ref="H136" ca="1">OFFSET(TypeLast,1-D136,0)</f>
        <v>Amber</v>
      </c>
      <c r="I136" s="139">
        <f t="shared" ca="1" si="43"/>
        <v>64</v>
      </c>
      <c r="J136" s="142" t="str">
        <f ca="1"/>
        <v>Small</v>
      </c>
      <c r="K136" s="143">
        <f t="shared" ca="1" si="44"/>
        <v>91</v>
      </c>
      <c r="L136" s="140" t="str">
        <f ca="1"/>
        <v>Superior Grade</v>
      </c>
      <c r="M136" s="144" t="str">
        <f t="shared" ca="1" si="45"/>
        <v>Amber (Small Superior Grade)</v>
      </c>
      <c r="N136" s="145">
        <f ca="1"/>
        <v>96</v>
      </c>
      <c r="O136" s="158"/>
      <c r="P136" s="161">
        <f t="shared" ca="1" si="46"/>
        <v>4</v>
      </c>
      <c r="Q136" s="83" t="str">
        <f t="shared" ca="1" si="47"/>
        <v>Necklace</v>
      </c>
      <c r="R136" s="32">
        <f t="shared" ca="1" si="55"/>
        <v>5</v>
      </c>
      <c r="S136" s="68" t="str">
        <f t="shared" ca="1" si="48"/>
        <v>Copper</v>
      </c>
      <c r="T136" s="83">
        <f t="shared" ca="1" si="49"/>
        <v>31</v>
      </c>
      <c r="U136" s="32" t="str">
        <f t="shared" ca="1" si="50"/>
        <v>Average</v>
      </c>
      <c r="V136" s="68" t="str">
        <f t="shared" ca="1" si="51"/>
        <v>Mediocre</v>
      </c>
      <c r="W136" s="83" t="str">
        <f t="shared" ca="1" si="52"/>
        <v>Mediocre Copper Necklace, set with 1 Amethyst (Medium Superior Grade) and 1 Coral (Small Inferior Grade)</v>
      </c>
      <c r="X136">
        <f t="shared" ca="1" si="53"/>
        <v>0.01</v>
      </c>
      <c r="Y136" s="146">
        <f t="shared" ca="1" si="54"/>
        <v>841.88099999999997</v>
      </c>
    </row>
    <row r="137" spans="1:25" ht="12.75">
      <c r="A137" s="141"/>
      <c r="B137" s="160">
        <f t="shared" ca="1" si="41"/>
        <v>64</v>
      </c>
      <c r="C137" s="140" t="str">
        <f ca="1"/>
        <v>Uncommon</v>
      </c>
      <c r="D137" s="93">
        <f t="shared" ca="1" si="42"/>
        <v>35</v>
      </c>
      <c r="E137" s="141">
        <f ca="1"/>
        <v>3</v>
      </c>
      <c r="F137" s="141">
        <f ca="1"/>
        <v>5</v>
      </c>
      <c r="G137" s="141">
        <f ca="1"/>
        <v>-20</v>
      </c>
      <c r="H137" s="141" t="str">
        <f t="array" aca="1" ref="H137" ca="1">OFFSET(TypeLast,1-D137,0)</f>
        <v>Sapphire</v>
      </c>
      <c r="I137" s="139">
        <f t="shared" ca="1" si="43"/>
        <v>97</v>
      </c>
      <c r="J137" s="142" t="str">
        <f ca="1"/>
        <v>Medium</v>
      </c>
      <c r="K137" s="143">
        <f t="shared" ca="1" si="44"/>
        <v>73</v>
      </c>
      <c r="L137" s="140" t="str">
        <f ca="1"/>
        <v>Standard Grade</v>
      </c>
      <c r="M137" s="144" t="str">
        <f t="shared" ca="1" si="45"/>
        <v>Sapphire (Medium Standard Grade)</v>
      </c>
      <c r="N137" s="145">
        <f ca="1"/>
        <v>97</v>
      </c>
      <c r="O137" s="158"/>
      <c r="P137" s="161">
        <f t="shared" ca="1" si="46"/>
        <v>8</v>
      </c>
      <c r="Q137" s="83" t="str">
        <f t="shared" ca="1" si="47"/>
        <v>Serving Spoon</v>
      </c>
      <c r="R137" s="32">
        <f t="shared" ca="1" si="55"/>
        <v>7</v>
      </c>
      <c r="S137" s="68" t="str">
        <f t="shared" ca="1" si="48"/>
        <v>Electrum</v>
      </c>
      <c r="T137" s="83">
        <f t="shared" ca="1" si="49"/>
        <v>21</v>
      </c>
      <c r="U137" s="32" t="str">
        <f t="shared" ca="1" si="50"/>
        <v>Average</v>
      </c>
      <c r="V137" s="68" t="str">
        <f t="shared" ca="1" si="51"/>
        <v>Unexceptional</v>
      </c>
      <c r="W137" s="83" t="str">
        <f t="shared" ca="1" si="52"/>
        <v>Unexceptional Electrum Serving Spoon, set with 3 Coral (Large Flawless)</v>
      </c>
      <c r="X137">
        <f t="shared" ca="1" si="53"/>
        <v>0.5</v>
      </c>
      <c r="Y137" s="146" t="e">
        <f t="shared" ca="1" si="54"/>
        <v>#VALUE!</v>
      </c>
    </row>
    <row r="138" spans="1:25" ht="12.75">
      <c r="A138" s="141"/>
      <c r="B138" s="160">
        <f t="shared" ca="1" si="41"/>
        <v>100</v>
      </c>
      <c r="C138" s="140" t="str">
        <f ca="1"/>
        <v>Unique</v>
      </c>
      <c r="D138" s="93">
        <f t="shared" ca="1" si="42"/>
        <v>42</v>
      </c>
      <c r="E138" s="141">
        <f ca="1"/>
        <v>0</v>
      </c>
      <c r="F138" s="141">
        <f ca="1"/>
        <v>0</v>
      </c>
      <c r="G138" s="141">
        <f ca="1"/>
        <v>0</v>
      </c>
      <c r="H138" s="141" t="str">
        <f t="array" aca="1" ref="H138" ca="1">OFFSET(TypeLast,1-D138,0)</f>
        <v>Star Ruby</v>
      </c>
      <c r="I138" s="139">
        <f t="shared" ca="1" si="43"/>
        <v>81</v>
      </c>
      <c r="J138" s="142" t="str">
        <f ca="1"/>
        <v>Medium</v>
      </c>
      <c r="K138" s="143">
        <f t="shared" ca="1" si="44"/>
        <v>100</v>
      </c>
      <c r="L138" s="140" t="str">
        <f ca="1"/>
        <v>Flawless</v>
      </c>
      <c r="M138" s="144" t="str">
        <f t="shared" ca="1" si="45"/>
        <v>Star Ruby (Medium Flawless)</v>
      </c>
      <c r="N138" s="145">
        <f ca="1"/>
        <v>8100.0000000000009</v>
      </c>
      <c r="O138" s="158"/>
      <c r="P138" s="161">
        <f t="shared" ca="1" si="46"/>
        <v>1</v>
      </c>
      <c r="Q138" s="83" t="str">
        <f t="shared" ca="1" si="47"/>
        <v>Ring</v>
      </c>
      <c r="R138" s="32">
        <f t="shared" ca="1" si="55"/>
        <v>9</v>
      </c>
      <c r="S138" s="68" t="str">
        <f t="shared" ca="1" si="48"/>
        <v>Platinum</v>
      </c>
      <c r="T138" s="83">
        <f t="shared" ca="1" si="49"/>
        <v>18</v>
      </c>
      <c r="U138" s="32" t="str">
        <f t="shared" ca="1" si="50"/>
        <v>Average</v>
      </c>
      <c r="V138" s="68" t="str">
        <f t="shared" ca="1" si="51"/>
        <v>Unexceptional</v>
      </c>
      <c r="W138" s="83" t="str">
        <f t="shared" ca="1" si="52"/>
        <v>Unexceptional Platinum Ring, set with 2 Pearl (Huge Superior Grade)</v>
      </c>
      <c r="X138">
        <f t="shared" ca="1" si="53"/>
        <v>1E-3</v>
      </c>
      <c r="Y138" s="146" t="e">
        <f t="shared" ca="1" si="54"/>
        <v>#VALUE!</v>
      </c>
    </row>
    <row r="139" spans="1:25" ht="12.75">
      <c r="A139" s="141"/>
      <c r="B139" s="160">
        <f t="shared" ca="1" si="41"/>
        <v>61</v>
      </c>
      <c r="C139" s="140" t="str">
        <f ca="1"/>
        <v>Uncommon</v>
      </c>
      <c r="D139" s="93">
        <f t="shared" ca="1" si="42"/>
        <v>28</v>
      </c>
      <c r="E139" s="141">
        <f ca="1"/>
        <v>3</v>
      </c>
      <c r="F139" s="141">
        <f ca="1"/>
        <v>4</v>
      </c>
      <c r="G139" s="141">
        <f ca="1"/>
        <v>-10</v>
      </c>
      <c r="H139" s="141" t="str">
        <f t="array" aca="1" ref="H139" ca="1">OFFSET(TypeLast,1-D139,0)</f>
        <v>Pearl</v>
      </c>
      <c r="I139" s="139">
        <f t="shared" ca="1" si="43"/>
        <v>165</v>
      </c>
      <c r="J139" s="142" t="str">
        <f ca="1"/>
        <v>Huge</v>
      </c>
      <c r="K139" s="143">
        <f t="shared" ca="1" si="44"/>
        <v>88</v>
      </c>
      <c r="L139" s="140" t="str">
        <f ca="1"/>
        <v>Superior Grade</v>
      </c>
      <c r="M139" s="144" t="str">
        <f t="shared" ca="1" si="45"/>
        <v>Pearl (Huge Superior Grade)</v>
      </c>
      <c r="N139" s="145">
        <f ca="1"/>
        <v>247.5</v>
      </c>
      <c r="O139" s="158"/>
      <c r="P139" s="161">
        <f t="shared" ca="1" si="46"/>
        <v>12</v>
      </c>
      <c r="Q139" s="83" t="str">
        <f t="shared" ca="1" si="47"/>
        <v>Bowl (Small)</v>
      </c>
      <c r="R139" s="32">
        <f t="shared" ca="1" si="55"/>
        <v>5</v>
      </c>
      <c r="S139" s="68" t="str">
        <f t="shared" ca="1" si="48"/>
        <v>Copper</v>
      </c>
      <c r="T139" s="83">
        <f t="shared" ca="1" si="49"/>
        <v>62</v>
      </c>
      <c r="U139" s="32" t="str">
        <f t="shared" ca="1" si="50"/>
        <v>Average</v>
      </c>
      <c r="V139" s="68" t="str">
        <f t="shared" ca="1" si="51"/>
        <v>Unexceptional</v>
      </c>
      <c r="W139" s="83" t="str">
        <f t="shared" ca="1" si="52"/>
        <v>Unexceptional Copper Bowl (Small), set with 1 Amethyst (Medium Superior Grade) and 1 Sapphire (Tiny Standard Grade)</v>
      </c>
      <c r="X139">
        <f t="shared" ca="1" si="53"/>
        <v>1</v>
      </c>
      <c r="Y139" s="146">
        <f t="shared" ca="1" si="54"/>
        <v>214.97500000000002</v>
      </c>
    </row>
    <row r="140" spans="1:25" ht="12.75">
      <c r="A140" s="141"/>
      <c r="B140" s="160">
        <f t="shared" ca="1" si="41"/>
        <v>71</v>
      </c>
      <c r="C140" s="140" t="str">
        <f ca="1"/>
        <v>Uncommon</v>
      </c>
      <c r="D140" s="93">
        <f t="shared" ca="1" si="42"/>
        <v>24</v>
      </c>
      <c r="E140" s="141">
        <f ca="1"/>
        <v>3</v>
      </c>
      <c r="F140" s="141">
        <f ca="1"/>
        <v>3</v>
      </c>
      <c r="G140" s="141">
        <f ca="1"/>
        <v>0</v>
      </c>
      <c r="H140" s="141" t="str">
        <f t="array" aca="1" ref="H140" ca="1">OFFSET(TypeLast,1-D140,0)</f>
        <v>Coral</v>
      </c>
      <c r="I140" s="139">
        <f t="shared" ca="1" si="43"/>
        <v>25</v>
      </c>
      <c r="J140" s="142" t="str">
        <f ca="1"/>
        <v>Tiny</v>
      </c>
      <c r="K140" s="143">
        <f t="shared" ca="1" si="44"/>
        <v>35</v>
      </c>
      <c r="L140" s="140" t="str">
        <f ca="1"/>
        <v>Standard Grade</v>
      </c>
      <c r="M140" s="144" t="str">
        <f t="shared" ca="1" si="45"/>
        <v>Coral (Tiny Standard Grade)</v>
      </c>
      <c r="N140" s="145">
        <f ca="1"/>
        <v>25</v>
      </c>
      <c r="O140" s="158"/>
      <c r="P140" s="161">
        <f t="shared" ca="1" si="46"/>
        <v>6</v>
      </c>
      <c r="Q140" s="83" t="str">
        <f t="shared" ca="1" si="47"/>
        <v>Buckle</v>
      </c>
      <c r="R140" s="32">
        <f t="shared" ca="1" si="55"/>
        <v>5</v>
      </c>
      <c r="S140" s="68" t="str">
        <f t="shared" ca="1" si="48"/>
        <v>Copper</v>
      </c>
      <c r="T140" s="83">
        <f t="shared" ca="1" si="49"/>
        <v>67</v>
      </c>
      <c r="U140" s="32" t="str">
        <f t="shared" ca="1" si="50"/>
        <v>High</v>
      </c>
      <c r="V140" s="68" t="str">
        <f t="shared" ca="1" si="51"/>
        <v>Splendid</v>
      </c>
      <c r="W140" s="83" t="str">
        <f t="shared" ca="1" si="52"/>
        <v>Splendid Copper Buckle, set with 2 Peridot (Medium Superior Grade) and 1 Coral (Tiny Standard Grade)</v>
      </c>
      <c r="X140">
        <f t="shared" ca="1" si="53"/>
        <v>0.5</v>
      </c>
      <c r="Y140" s="146">
        <f t="shared" ca="1" si="54"/>
        <v>314.42500000000001</v>
      </c>
    </row>
    <row r="141" spans="1:25" ht="12.75">
      <c r="A141" s="141"/>
      <c r="B141" s="160">
        <f t="shared" ca="1" si="41"/>
        <v>37</v>
      </c>
      <c r="C141" s="140" t="str">
        <f ca="1"/>
        <v>Common</v>
      </c>
      <c r="D141" s="93">
        <f t="shared" ca="1" si="42"/>
        <v>36</v>
      </c>
      <c r="E141" s="141">
        <f ca="1"/>
        <v>2</v>
      </c>
      <c r="F141" s="141">
        <f ca="1"/>
        <v>5</v>
      </c>
      <c r="G141" s="141">
        <f ca="1"/>
        <v>-30</v>
      </c>
      <c r="H141" s="141" t="str">
        <f t="array" aca="1" ref="H141" ca="1">OFFSET(TypeLast,1-D141,0)</f>
        <v>Opal</v>
      </c>
      <c r="I141" s="139">
        <f t="shared" ca="1" si="43"/>
        <v>75</v>
      </c>
      <c r="J141" s="142" t="str">
        <f ca="1"/>
        <v>Medium</v>
      </c>
      <c r="K141" s="143">
        <f t="shared" ca="1" si="44"/>
        <v>32</v>
      </c>
      <c r="L141" s="140" t="str">
        <f ca="1"/>
        <v>Standard Grade</v>
      </c>
      <c r="M141" s="144" t="str">
        <f t="shared" ca="1" si="45"/>
        <v>Opal (Medium Standard Grade)</v>
      </c>
      <c r="N141" s="145">
        <f ca="1"/>
        <v>7.5</v>
      </c>
      <c r="O141" s="158"/>
      <c r="P141" s="161">
        <f t="shared" ca="1" si="46"/>
        <v>4</v>
      </c>
      <c r="Q141" s="83" t="str">
        <f t="shared" ca="1" si="47"/>
        <v>Necklace</v>
      </c>
      <c r="R141" s="32">
        <f t="shared" ca="1" si="55"/>
        <v>7</v>
      </c>
      <c r="S141" s="68" t="str">
        <f t="shared" ca="1" si="48"/>
        <v>Electrum</v>
      </c>
      <c r="T141" s="83">
        <f t="shared" ca="1" si="49"/>
        <v>75</v>
      </c>
      <c r="U141" s="32" t="str">
        <f t="shared" ca="1" si="50"/>
        <v>High</v>
      </c>
      <c r="V141" s="68" t="str">
        <f t="shared" ca="1" si="51"/>
        <v>Superior</v>
      </c>
      <c r="W141" s="83" t="str">
        <f t="shared" ca="1" si="52"/>
        <v>Superior Electrum Necklace, set with 1 Jet (Medium Standard Grade) and 1 Turquoise (Large Standard Grade)</v>
      </c>
      <c r="X141">
        <f t="shared" ca="1" si="53"/>
        <v>0.01</v>
      </c>
      <c r="Y141" s="146">
        <f t="shared" ca="1" si="54"/>
        <v>140.35000000000002</v>
      </c>
    </row>
    <row r="142" spans="1:25" ht="12.75">
      <c r="A142" s="141"/>
      <c r="B142" s="160">
        <f t="shared" ca="1" si="41"/>
        <v>14</v>
      </c>
      <c r="C142" s="140" t="str">
        <f ca="1"/>
        <v>Very Common</v>
      </c>
      <c r="D142" s="93">
        <f t="shared" ca="1" si="42"/>
        <v>22</v>
      </c>
      <c r="E142" s="141">
        <f ca="1"/>
        <v>1</v>
      </c>
      <c r="F142" s="141">
        <f ca="1"/>
        <v>3</v>
      </c>
      <c r="G142" s="141">
        <f ca="1"/>
        <v>-20</v>
      </c>
      <c r="H142" s="141" t="str">
        <f t="array" aca="1" ref="H142" ca="1">OFFSET(TypeLast,1-D142,0)</f>
        <v>Obsidian</v>
      </c>
      <c r="I142" s="139">
        <f t="shared" ca="1" si="43"/>
        <v>128</v>
      </c>
      <c r="J142" s="142" t="str">
        <f ca="1"/>
        <v>Large</v>
      </c>
      <c r="K142" s="143">
        <f t="shared" ca="1" si="44"/>
        <v>1</v>
      </c>
      <c r="L142" s="140" t="str">
        <f ca="1"/>
        <v>Inferior Grade</v>
      </c>
      <c r="M142" s="144" t="str">
        <f t="shared" ca="1" si="45"/>
        <v>Obsidian (Large Inferior Grade)</v>
      </c>
      <c r="N142" s="145">
        <f ca="1"/>
        <v>0.96</v>
      </c>
      <c r="O142" s="158"/>
      <c r="P142" s="161">
        <f t="shared" ca="1" si="46"/>
        <v>10</v>
      </c>
      <c r="Q142" s="83" t="str">
        <f t="shared" ca="1" si="47"/>
        <v>Carving Knife</v>
      </c>
      <c r="R142" s="32">
        <f t="shared" ca="1" si="55"/>
        <v>2</v>
      </c>
      <c r="S142" s="68" t="str">
        <f t="shared" ca="1" si="48"/>
        <v>Steel</v>
      </c>
      <c r="T142" s="83">
        <f t="shared" ca="1" si="49"/>
        <v>13</v>
      </c>
      <c r="U142" s="32" t="str">
        <f t="shared" ca="1" si="50"/>
        <v>Average</v>
      </c>
      <c r="V142" s="68" t="str">
        <f t="shared" ca="1" si="51"/>
        <v>Common</v>
      </c>
      <c r="W142" s="83" t="str">
        <f t="shared" ca="1" si="52"/>
        <v>Common Steel Carving Knife, set with 1 Sapphire (Medium Standard Grade) and 2 Amethyst (Medium Standard Grade)</v>
      </c>
      <c r="X142">
        <f t="shared" ca="1" si="53"/>
        <v>0.5</v>
      </c>
      <c r="Y142" s="146">
        <f t="shared" ca="1" si="54"/>
        <v>115.3875</v>
      </c>
    </row>
    <row r="143" spans="1:25" ht="12.75">
      <c r="A143" s="141"/>
      <c r="B143" s="160">
        <f t="shared" ca="1" si="41"/>
        <v>92</v>
      </c>
      <c r="C143" s="140" t="str">
        <f ca="1"/>
        <v>Rare</v>
      </c>
      <c r="D143" s="93">
        <f t="shared" ca="1" si="42"/>
        <v>33</v>
      </c>
      <c r="E143" s="141">
        <f ca="1"/>
        <v>4</v>
      </c>
      <c r="F143" s="141">
        <f ca="1"/>
        <v>4</v>
      </c>
      <c r="G143" s="141">
        <f ca="1"/>
        <v>0</v>
      </c>
      <c r="H143" s="141" t="str">
        <f t="array" aca="1" ref="H143" ca="1">OFFSET(TypeLast,1-D143,0)</f>
        <v>Amethyst</v>
      </c>
      <c r="I143" s="139">
        <f t="shared" ca="1" si="43"/>
        <v>106</v>
      </c>
      <c r="J143" s="142" t="str">
        <f ca="1"/>
        <v>Medium</v>
      </c>
      <c r="K143" s="143">
        <f t="shared" ca="1" si="44"/>
        <v>96</v>
      </c>
      <c r="L143" s="140" t="str">
        <f ca="1"/>
        <v>Superior Grade</v>
      </c>
      <c r="M143" s="144" t="str">
        <f t="shared" ca="1" si="45"/>
        <v>Amethyst (Medium Superior Grade)</v>
      </c>
      <c r="N143" s="145">
        <f ca="1"/>
        <v>795</v>
      </c>
      <c r="O143" s="158"/>
      <c r="P143" s="161">
        <f t="shared" ca="1" si="46"/>
        <v>15</v>
      </c>
      <c r="Q143" s="83" t="str">
        <f t="shared" ca="1" si="47"/>
        <v>Brooch</v>
      </c>
      <c r="R143" s="32">
        <f t="shared" ca="1" si="55"/>
        <v>7</v>
      </c>
      <c r="S143" s="68" t="str">
        <f t="shared" ca="1" si="48"/>
        <v>Electrum</v>
      </c>
      <c r="T143" s="83">
        <f t="shared" ca="1" si="49"/>
        <v>89</v>
      </c>
      <c r="U143" s="32" t="str">
        <f t="shared" ca="1" si="50"/>
        <v>High</v>
      </c>
      <c r="V143" s="68" t="str">
        <f t="shared" ca="1" si="51"/>
        <v>Splendid</v>
      </c>
      <c r="W143" s="83" t="str">
        <f t="shared" ca="1" si="52"/>
        <v>Splendid Electrum Brooch, set with 1 Amber (Small Superior Grade) and 1 Jet (Medium Standard Grade)</v>
      </c>
      <c r="X143">
        <f t="shared" ca="1" si="53"/>
        <v>0.05</v>
      </c>
      <c r="Y143" s="146">
        <f t="shared" ca="1" si="54"/>
        <v>108.8</v>
      </c>
    </row>
    <row r="144" spans="1:25" ht="12.75">
      <c r="A144" s="141"/>
      <c r="B144" s="160">
        <f t="shared" ca="1" si="41"/>
        <v>52</v>
      </c>
      <c r="C144" s="140" t="str">
        <f ca="1"/>
        <v>Common</v>
      </c>
      <c r="D144" s="93">
        <f t="shared" ca="1" si="42"/>
        <v>25</v>
      </c>
      <c r="E144" s="141">
        <f ca="1"/>
        <v>2</v>
      </c>
      <c r="F144" s="141">
        <f ca="1"/>
        <v>3</v>
      </c>
      <c r="G144" s="141">
        <f ca="1"/>
        <v>-10</v>
      </c>
      <c r="H144" s="141" t="str">
        <f t="array" aca="1" ref="H144" ca="1">OFFSET(TypeLast,1-D144,0)</f>
        <v>Jet</v>
      </c>
      <c r="I144" s="139">
        <f t="shared" ca="1" si="43"/>
        <v>83</v>
      </c>
      <c r="J144" s="142" t="str">
        <f ca="1"/>
        <v>Medium</v>
      </c>
      <c r="K144" s="143">
        <f t="shared" ca="1" si="44"/>
        <v>65</v>
      </c>
      <c r="L144" s="140" t="str">
        <f ca="1"/>
        <v>Standard Grade</v>
      </c>
      <c r="M144" s="144" t="str">
        <f t="shared" ca="1" si="45"/>
        <v>Jet (Medium Standard Grade)</v>
      </c>
      <c r="N144" s="145">
        <f ca="1"/>
        <v>8.3000000000000007</v>
      </c>
      <c r="O144" s="158"/>
      <c r="P144" s="161">
        <f t="shared" ca="1" si="46"/>
        <v>2</v>
      </c>
      <c r="Q144" s="83" t="str">
        <f t="shared" ca="1" si="47"/>
        <v>Earrings</v>
      </c>
      <c r="R144" s="162">
        <f t="shared" ca="1" si="55"/>
        <v>2</v>
      </c>
      <c r="S144" s="96" t="str">
        <f t="shared" ca="1" si="48"/>
        <v>Steel</v>
      </c>
      <c r="T144" s="83">
        <f t="shared" ca="1" si="49"/>
        <v>55</v>
      </c>
      <c r="U144" s="163" t="str">
        <f t="shared" ca="1" si="50"/>
        <v>Average</v>
      </c>
      <c r="V144" s="68" t="str">
        <f t="shared" ca="1" si="51"/>
        <v>Ordinary</v>
      </c>
      <c r="W144" s="83" t="str">
        <f t="shared" ca="1" si="52"/>
        <v>Ordinary Steel Earrings, set with 1 Ruby (Medium Standard Grade) and 1 Opal (Medium Standard Grade), Pair</v>
      </c>
      <c r="X144" s="158">
        <f t="shared" ca="1" si="53"/>
        <v>2E-3</v>
      </c>
      <c r="Y144" s="146">
        <f t="shared" ca="1" si="54"/>
        <v>198.00075000000001</v>
      </c>
    </row>
    <row r="145" spans="1:25" ht="12.75">
      <c r="A145" s="141"/>
      <c r="B145" s="160">
        <f t="shared" ca="1" si="41"/>
        <v>78</v>
      </c>
      <c r="C145" s="140" t="str">
        <f ca="1"/>
        <v>Uncommon</v>
      </c>
      <c r="D145" s="93">
        <f t="shared" ca="1" si="42"/>
        <v>25</v>
      </c>
      <c r="E145" s="141">
        <f ca="1"/>
        <v>3</v>
      </c>
      <c r="F145" s="141">
        <f ca="1"/>
        <v>3</v>
      </c>
      <c r="G145" s="141">
        <f ca="1"/>
        <v>0</v>
      </c>
      <c r="H145" s="141" t="str">
        <f t="array" aca="1" ref="H145" ca="1">OFFSET(TypeLast,1-D145,0)</f>
        <v>Jet</v>
      </c>
      <c r="I145" s="139">
        <f t="shared" ca="1" si="43"/>
        <v>124</v>
      </c>
      <c r="J145" s="142" t="str">
        <f ca="1"/>
        <v>Medium</v>
      </c>
      <c r="K145" s="143">
        <f t="shared" ca="1" si="44"/>
        <v>44</v>
      </c>
      <c r="L145" s="140" t="str">
        <f ca="1"/>
        <v>Standard Grade</v>
      </c>
      <c r="M145" s="144" t="str">
        <f t="shared" ca="1" si="45"/>
        <v>Jet (Medium Standard Grade)</v>
      </c>
      <c r="N145" s="145">
        <f ca="1"/>
        <v>124</v>
      </c>
      <c r="O145" s="158"/>
      <c r="P145" s="161">
        <f t="shared" ca="1" si="46"/>
        <v>20</v>
      </c>
      <c r="Q145" s="86" t="str">
        <f t="shared" ca="1" si="47"/>
        <v>Bowl</v>
      </c>
      <c r="R145" s="164">
        <f t="shared" ca="1" si="55"/>
        <v>3</v>
      </c>
      <c r="S145" s="165" t="str">
        <f t="shared" ca="1" si="48"/>
        <v>Brass</v>
      </c>
      <c r="T145" s="86">
        <f t="shared" ca="1" si="49"/>
        <v>63</v>
      </c>
      <c r="U145" s="166" t="str">
        <f t="shared" ca="1" si="50"/>
        <v>Average</v>
      </c>
      <c r="V145" s="74" t="str">
        <f t="shared" ca="1" si="51"/>
        <v>Common</v>
      </c>
      <c r="W145" s="86" t="str">
        <f t="shared" ca="1" si="52"/>
        <v>Common Brass Bowl, set with 1 Onyx (Medium Standard Grade) and 5 Carnelian (Small Inferior Grade)</v>
      </c>
      <c r="X145" s="167">
        <f t="shared" ca="1" si="53"/>
        <v>1.5</v>
      </c>
      <c r="Y145" s="155">
        <f t="shared" ca="1" si="54"/>
        <v>115.13</v>
      </c>
    </row>
    <row r="146" spans="1:25" ht="12.75">
      <c r="A146" s="141"/>
      <c r="B146" s="160">
        <f t="shared" ca="1" si="41"/>
        <v>73</v>
      </c>
      <c r="C146" s="140" t="str">
        <f ca="1"/>
        <v>Uncommon</v>
      </c>
      <c r="D146" s="93">
        <f t="shared" ca="1" si="42"/>
        <v>28</v>
      </c>
      <c r="E146" s="141">
        <f ca="1"/>
        <v>3</v>
      </c>
      <c r="F146" s="141">
        <f ca="1"/>
        <v>4</v>
      </c>
      <c r="G146" s="141">
        <f ca="1"/>
        <v>-10</v>
      </c>
      <c r="H146" s="141" t="str">
        <f t="array" aca="1" ref="H146" ca="1">OFFSET(TypeLast,1-D146,0)</f>
        <v>Pearl</v>
      </c>
      <c r="I146" s="139">
        <f t="shared" ca="1" si="43"/>
        <v>69</v>
      </c>
      <c r="J146" s="142" t="str">
        <f ca="1"/>
        <v>Small</v>
      </c>
      <c r="K146" s="143">
        <f t="shared" ca="1" si="44"/>
        <v>52</v>
      </c>
      <c r="L146" s="140" t="str">
        <f ca="1"/>
        <v>Standard Grade</v>
      </c>
      <c r="M146" s="144" t="str">
        <f t="shared" ca="1" si="45"/>
        <v>Pearl (Small Standard Grade)</v>
      </c>
      <c r="N146" s="145">
        <f ca="1"/>
        <v>69</v>
      </c>
      <c r="O146" s="43"/>
      <c r="P146" s="24" t="s">
        <v>236</v>
      </c>
      <c r="Q146" s="88" t="s">
        <v>237</v>
      </c>
      <c r="R146" s="24" t="s">
        <v>238</v>
      </c>
      <c r="S146" s="24" t="s">
        <v>239</v>
      </c>
      <c r="T146" s="88" t="s">
        <v>240</v>
      </c>
      <c r="U146" s="24" t="s">
        <v>241</v>
      </c>
      <c r="V146" s="168" t="s">
        <v>242</v>
      </c>
    </row>
    <row r="147" spans="1:25" ht="12.75">
      <c r="A147" s="141"/>
      <c r="B147" s="160">
        <f t="shared" ca="1" si="41"/>
        <v>42</v>
      </c>
      <c r="C147" s="140" t="str">
        <f ca="1"/>
        <v>Common</v>
      </c>
      <c r="D147" s="93">
        <f t="shared" ca="1" si="42"/>
        <v>33</v>
      </c>
      <c r="E147" s="141">
        <f ca="1"/>
        <v>2</v>
      </c>
      <c r="F147" s="141">
        <f ca="1"/>
        <v>4</v>
      </c>
      <c r="G147" s="141">
        <f ca="1"/>
        <v>-20</v>
      </c>
      <c r="H147" s="141" t="str">
        <f t="array" aca="1" ref="H147" ca="1">OFFSET(TypeLast,1-D147,0)</f>
        <v>Amethyst</v>
      </c>
      <c r="I147" s="139">
        <f t="shared" ca="1" si="43"/>
        <v>86</v>
      </c>
      <c r="J147" s="142" t="str">
        <f ca="1"/>
        <v>Medium</v>
      </c>
      <c r="K147" s="143">
        <f t="shared" ca="1" si="44"/>
        <v>31</v>
      </c>
      <c r="L147" s="140" t="str">
        <f ca="1"/>
        <v>Standard Grade</v>
      </c>
      <c r="M147" s="144" t="str">
        <f t="shared" ca="1" si="45"/>
        <v>Amethyst (Medium Standard Grade)</v>
      </c>
      <c r="N147" s="145">
        <f ca="1"/>
        <v>8.6</v>
      </c>
      <c r="P147" s="77"/>
      <c r="Q147" s="82"/>
      <c r="R147" s="82">
        <f>ROW()</f>
        <v>147</v>
      </c>
      <c r="S147" s="77"/>
      <c r="T147" s="77"/>
      <c r="U147" s="82">
        <f ca="1">R147-COUNTIF(R148:R159,"&lt;&gt;")</f>
        <v>135</v>
      </c>
      <c r="V147" s="77"/>
    </row>
    <row r="148" spans="1:25" ht="12.75">
      <c r="A148" s="141"/>
      <c r="B148" s="160">
        <f t="shared" ca="1" si="41"/>
        <v>80</v>
      </c>
      <c r="C148" s="140" t="str">
        <f ca="1"/>
        <v>Uncommon</v>
      </c>
      <c r="D148" s="93">
        <f t="shared" ca="1" si="42"/>
        <v>23</v>
      </c>
      <c r="E148" s="141">
        <f ca="1"/>
        <v>3</v>
      </c>
      <c r="F148" s="141">
        <f ca="1"/>
        <v>3</v>
      </c>
      <c r="G148" s="141">
        <f ca="1"/>
        <v>0</v>
      </c>
      <c r="H148" s="141" t="str">
        <f t="array" aca="1" ref="H148" ca="1">OFFSET(TypeLast,1-D148,0)</f>
        <v>Onyx</v>
      </c>
      <c r="I148" s="139">
        <f t="shared" ca="1" si="43"/>
        <v>75</v>
      </c>
      <c r="J148" s="142" t="str">
        <f ca="1"/>
        <v>Medium</v>
      </c>
      <c r="K148" s="143">
        <f t="shared" ca="1" si="44"/>
        <v>19</v>
      </c>
      <c r="L148" s="140" t="str">
        <f ca="1"/>
        <v>Inferior Grade</v>
      </c>
      <c r="M148" s="144" t="str">
        <f t="shared" ca="1" si="45"/>
        <v>Onyx (Medium Inferior Grade)</v>
      </c>
      <c r="N148" s="145">
        <f ca="1"/>
        <v>56.25</v>
      </c>
      <c r="P148" s="46">
        <f t="shared" ref="P148:P159" ca="1" si="56">IF(OFFSET(ItemTypeRef,MATCH(Q134,ItemTypeRange,0),3)=2,2,RANDBETWEEN(2,OFFSET(ItemTypeRef,MATCH(Q134,ItemTypeRange,0),3)))</f>
        <v>2</v>
      </c>
      <c r="Q148" s="82">
        <v>1</v>
      </c>
      <c r="R148" s="28" t="str">
        <f t="shared" ref="R148:R159" ca="1" si="57">OFFSET(MStoneRef,MATCH(LARGE(MStoneRange,(ROW()-$R$147)),MStoneRange,0),-1)</f>
        <v>Star Ruby (Medium Flawless)</v>
      </c>
      <c r="S148" s="138">
        <f t="shared" ref="S148:S159" ca="1" si="58">OFFSET(MStoneRef,MATCH(LARGE(MStoneRange,(ROW()-$R$147)),MStoneRange,0),0)</f>
        <v>8100.0000000000009</v>
      </c>
      <c r="T148" s="27">
        <f t="shared" ref="T148:T159" ca="1" si="59">P148-Q148</f>
        <v>1</v>
      </c>
      <c r="U148" s="46" t="str">
        <f ca="1">IF($T148=0,"",OFFSET(MStoneRef,MATCH(LARGE(MStoneRange,(ROW()-$U$147-COUNTIF($T$148:$T148,"=0"))),MStoneRange,0),-1))</f>
        <v>Pearl (Small Standard Grade)</v>
      </c>
      <c r="V148" s="138">
        <f ca="1">IF($T148=0,"",OFFSET(MStoneRef,MATCH(LARGE(MStoneRange,(ROW()-$U$147-COUNTIF($T$148:$T148,"=0"))),MStoneRange,0),0))</f>
        <v>69</v>
      </c>
    </row>
    <row r="149" spans="1:25" ht="12.75">
      <c r="A149" s="141"/>
      <c r="B149" s="160">
        <f t="shared" ca="1" si="41"/>
        <v>64</v>
      </c>
      <c r="C149" s="140" t="str">
        <f ca="1"/>
        <v>Uncommon</v>
      </c>
      <c r="D149" s="93">
        <f t="shared" ca="1" si="42"/>
        <v>33</v>
      </c>
      <c r="E149" s="141">
        <f ca="1"/>
        <v>3</v>
      </c>
      <c r="F149" s="141">
        <f ca="1"/>
        <v>4</v>
      </c>
      <c r="G149" s="141">
        <f ca="1"/>
        <v>-10</v>
      </c>
      <c r="H149" s="141" t="str">
        <f t="array" aca="1" ref="H149" ca="1">OFFSET(TypeLast,1-D149,0)</f>
        <v>Amethyst</v>
      </c>
      <c r="I149" s="139">
        <f t="shared" ca="1" si="43"/>
        <v>114</v>
      </c>
      <c r="J149" s="142" t="str">
        <f ca="1"/>
        <v>Medium</v>
      </c>
      <c r="K149" s="143">
        <f t="shared" ca="1" si="44"/>
        <v>98</v>
      </c>
      <c r="L149" s="140" t="str">
        <f ca="1"/>
        <v>Superior Grade</v>
      </c>
      <c r="M149" s="144" t="str">
        <f t="shared" ca="1" si="45"/>
        <v>Amethyst (Medium Superior Grade)</v>
      </c>
      <c r="N149" s="145">
        <f ca="1"/>
        <v>171.00000000000003</v>
      </c>
      <c r="P149" s="68">
        <f t="shared" ca="1" si="56"/>
        <v>6</v>
      </c>
      <c r="Q149" s="83">
        <v>1</v>
      </c>
      <c r="R149" s="32" t="str">
        <f t="shared" ca="1" si="57"/>
        <v>Sapphire (Medium Superior Grade)</v>
      </c>
      <c r="S149" s="146">
        <f t="shared" ca="1" si="58"/>
        <v>1335</v>
      </c>
      <c r="T149">
        <f t="shared" ca="1" si="59"/>
        <v>5</v>
      </c>
      <c r="U149" s="68" t="str">
        <f ca="1">IF($T149=0,"",OFFSET(MStoneRef,MATCH(LARGE(MStoneRange,(ROW()-$U$147-COUNTIF($T$148:$T149,"=0"))),MStoneRange,0),-1))</f>
        <v>Onyx (Medium Inferior Grade)</v>
      </c>
      <c r="V149" s="146">
        <f ca="1">IF($T149=0,"",OFFSET(MStoneRef,MATCH(LARGE(MStoneRange,(ROW()-$U$147-COUNTIF($T$148:$T149,"=0"))),MStoneRange,0),0))</f>
        <v>56.25</v>
      </c>
    </row>
    <row r="150" spans="1:25" ht="12.75">
      <c r="A150" s="141"/>
      <c r="B150" s="160">
        <f t="shared" ca="1" si="41"/>
        <v>53</v>
      </c>
      <c r="C150" s="140" t="str">
        <f ca="1"/>
        <v>Common</v>
      </c>
      <c r="D150" s="93">
        <f t="shared" ca="1" si="42"/>
        <v>21</v>
      </c>
      <c r="E150" s="141">
        <f ca="1"/>
        <v>2</v>
      </c>
      <c r="F150" s="141">
        <f ca="1"/>
        <v>3</v>
      </c>
      <c r="G150" s="141">
        <f ca="1"/>
        <v>-10</v>
      </c>
      <c r="H150" s="141" t="str">
        <f t="array" aca="1" ref="H150" ca="1">OFFSET(TypeLast,1-D150,0)</f>
        <v>Carnelian</v>
      </c>
      <c r="I150" s="139">
        <f t="shared" ca="1" si="43"/>
        <v>72</v>
      </c>
      <c r="J150" s="142" t="str">
        <f ca="1"/>
        <v>Small</v>
      </c>
      <c r="K150" s="143">
        <f t="shared" ca="1" si="44"/>
        <v>1</v>
      </c>
      <c r="L150" s="140" t="str">
        <f ca="1"/>
        <v>Inferior Grade</v>
      </c>
      <c r="M150" s="144" t="str">
        <f t="shared" ca="1" si="45"/>
        <v>Carnelian (Small Inferior Grade)</v>
      </c>
      <c r="N150" s="145">
        <f ca="1"/>
        <v>5.3999999999999995</v>
      </c>
      <c r="P150" s="68">
        <f t="shared" ca="1" si="56"/>
        <v>2</v>
      </c>
      <c r="Q150" s="83">
        <v>1</v>
      </c>
      <c r="R150" s="32" t="str">
        <f t="shared" ca="1" si="57"/>
        <v>Amethyst (Medium Superior Grade)</v>
      </c>
      <c r="S150" s="146">
        <f t="shared" ca="1" si="58"/>
        <v>795</v>
      </c>
      <c r="T150">
        <f t="shared" ca="1" si="59"/>
        <v>1</v>
      </c>
      <c r="U150" s="68" t="str">
        <f ca="1">IF($T150=0,"",OFFSET(MStoneRef,MATCH(LARGE(MStoneRange,(ROW()-$U$147-COUNTIF($T$148:$T150,"=0"))),MStoneRange,0),-1))</f>
        <v>Coral (Small Inferior Grade)</v>
      </c>
      <c r="V150" s="146">
        <f ca="1">IF($T150=0,"",OFFSET(MStoneRef,MATCH(LARGE(MStoneRange,(ROW()-$U$147-COUNTIF($T$148:$T150,"=0"))),MStoneRange,0),0))</f>
        <v>46.5</v>
      </c>
    </row>
    <row r="151" spans="1:25" ht="12.75">
      <c r="A151" s="141"/>
      <c r="B151" s="160">
        <f t="shared" ca="1" si="41"/>
        <v>62</v>
      </c>
      <c r="C151" s="140" t="str">
        <f ca="1"/>
        <v>Uncommon</v>
      </c>
      <c r="D151" s="93">
        <f t="shared" ca="1" si="42"/>
        <v>26</v>
      </c>
      <c r="E151" s="141">
        <f ca="1"/>
        <v>3</v>
      </c>
      <c r="F151" s="141">
        <f ca="1"/>
        <v>3</v>
      </c>
      <c r="G151" s="141">
        <f ca="1"/>
        <v>0</v>
      </c>
      <c r="H151" s="141" t="str">
        <f t="array" aca="1" ref="H151" ca="1">OFFSET(TypeLast,1-D151,0)</f>
        <v>Peridot</v>
      </c>
      <c r="I151" s="139">
        <f t="shared" ca="1" si="43"/>
        <v>96</v>
      </c>
      <c r="J151" s="142" t="str">
        <f ca="1"/>
        <v>Medium</v>
      </c>
      <c r="K151" s="143">
        <f t="shared" ca="1" si="44"/>
        <v>97</v>
      </c>
      <c r="L151" s="140" t="str">
        <f ca="1"/>
        <v>Superior Grade</v>
      </c>
      <c r="M151" s="144" t="str">
        <f t="shared" ca="1" si="45"/>
        <v>Peridot (Medium Superior Grade)</v>
      </c>
      <c r="N151" s="145">
        <f ca="1"/>
        <v>144</v>
      </c>
      <c r="P151" s="68">
        <f t="shared" ca="1" si="56"/>
        <v>3</v>
      </c>
      <c r="Q151" s="83">
        <v>3</v>
      </c>
      <c r="R151" s="32" t="str">
        <f t="shared" ca="1" si="57"/>
        <v>Coral (Large Flawless)</v>
      </c>
      <c r="S151" s="146">
        <f t="shared" ca="1" si="58"/>
        <v>276</v>
      </c>
      <c r="T151">
        <f t="shared" ca="1" si="59"/>
        <v>0</v>
      </c>
      <c r="U151" s="68" t="str">
        <f ca="1">IF($T151=0,"",OFFSET(MStoneRef,MATCH(LARGE(MStoneRange,(ROW()-$U$147-COUNTIF($T$148:$T151,"=0"))),MStoneRange,0),-1))</f>
        <v/>
      </c>
      <c r="V151" s="146" t="str">
        <f ca="1">IF($T151=0,"",OFFSET(MStoneRef,MATCH(LARGE(MStoneRange,(ROW()-$U$147-COUNTIF($T$148:$T151,"=0"))),MStoneRange,0),0))</f>
        <v/>
      </c>
    </row>
    <row r="152" spans="1:25" ht="12.75">
      <c r="A152" s="141"/>
      <c r="B152" s="160">
        <f t="shared" ca="1" si="41"/>
        <v>74</v>
      </c>
      <c r="C152" s="140" t="str">
        <f ca="1"/>
        <v>Uncommon</v>
      </c>
      <c r="D152" s="93">
        <f t="shared" ca="1" si="42"/>
        <v>24</v>
      </c>
      <c r="E152" s="141">
        <f ca="1"/>
        <v>3</v>
      </c>
      <c r="F152" s="141">
        <f ca="1"/>
        <v>3</v>
      </c>
      <c r="G152" s="141">
        <f ca="1"/>
        <v>0</v>
      </c>
      <c r="H152" s="141" t="str">
        <f t="array" aca="1" ref="H152" ca="1">OFFSET(TypeLast,1-D152,0)</f>
        <v>Coral</v>
      </c>
      <c r="I152" s="139">
        <f t="shared" ca="1" si="43"/>
        <v>138</v>
      </c>
      <c r="J152" s="142" t="str">
        <f ca="1"/>
        <v>Large</v>
      </c>
      <c r="K152" s="143">
        <f t="shared" ca="1" si="44"/>
        <v>100</v>
      </c>
      <c r="L152" s="140" t="str">
        <f ca="1"/>
        <v>Flawless</v>
      </c>
      <c r="M152" s="144" t="str">
        <f t="shared" ca="1" si="45"/>
        <v>Coral (Large Flawless)</v>
      </c>
      <c r="N152" s="145">
        <f ca="1"/>
        <v>276</v>
      </c>
      <c r="P152" s="68">
        <f t="shared" ca="1" si="56"/>
        <v>2</v>
      </c>
      <c r="Q152" s="83">
        <v>2</v>
      </c>
      <c r="R152" s="32" t="str">
        <f t="shared" ca="1" si="57"/>
        <v>Pearl (Huge Superior Grade)</v>
      </c>
      <c r="S152" s="146">
        <f t="shared" ca="1" si="58"/>
        <v>247.5</v>
      </c>
      <c r="T152">
        <f t="shared" ca="1" si="59"/>
        <v>0</v>
      </c>
      <c r="U152" s="68" t="str">
        <f ca="1">IF($T152=0,"",OFFSET(MStoneRef,MATCH(LARGE(MStoneRange,(ROW()-$U$147-COUNTIF($T$148:$T152,"=0"))),MStoneRange,0),-1))</f>
        <v/>
      </c>
      <c r="V152" s="146" t="str">
        <f ca="1">IF($T152=0,"",OFFSET(MStoneRef,MATCH(LARGE(MStoneRange,(ROW()-$U$147-COUNTIF($T$148:$T152,"=0"))),MStoneRange,0),0))</f>
        <v/>
      </c>
    </row>
    <row r="153" spans="1:25" ht="12.75">
      <c r="A153" s="141"/>
      <c r="B153" s="160">
        <f t="shared" ca="1" si="41"/>
        <v>96</v>
      </c>
      <c r="C153" s="140" t="str">
        <f ca="1"/>
        <v>Very Rare</v>
      </c>
      <c r="D153" s="93">
        <f t="shared" ca="1" si="42"/>
        <v>35</v>
      </c>
      <c r="E153" s="141">
        <f ca="1"/>
        <v>5</v>
      </c>
      <c r="F153" s="141">
        <f ca="1"/>
        <v>5</v>
      </c>
      <c r="G153" s="141">
        <f ca="1"/>
        <v>0</v>
      </c>
      <c r="H153" s="141" t="str">
        <f t="array" aca="1" ref="H153" ca="1">OFFSET(TypeLast,1-D153,0)</f>
        <v>Sapphire</v>
      </c>
      <c r="I153" s="139">
        <f t="shared" ca="1" si="43"/>
        <v>89</v>
      </c>
      <c r="J153" s="142" t="str">
        <f ca="1"/>
        <v>Medium</v>
      </c>
      <c r="K153" s="143">
        <f t="shared" ca="1" si="44"/>
        <v>78</v>
      </c>
      <c r="L153" s="140" t="str">
        <f ca="1"/>
        <v>Superior Grade</v>
      </c>
      <c r="M153" s="144" t="str">
        <f t="shared" ca="1" si="45"/>
        <v>Sapphire (Medium Superior Grade)</v>
      </c>
      <c r="N153" s="145">
        <f ca="1"/>
        <v>1335</v>
      </c>
      <c r="P153" s="68">
        <f t="shared" ca="1" si="56"/>
        <v>2</v>
      </c>
      <c r="Q153" s="83">
        <v>1</v>
      </c>
      <c r="R153" s="32" t="str">
        <f t="shared" ca="1" si="57"/>
        <v>Amethyst (Medium Superior Grade)</v>
      </c>
      <c r="S153" s="146">
        <f t="shared" ca="1" si="58"/>
        <v>171.00000000000003</v>
      </c>
      <c r="T153">
        <f t="shared" ca="1" si="59"/>
        <v>1</v>
      </c>
      <c r="U153" s="68" t="str">
        <f ca="1">IF($T153=0,"",OFFSET(MStoneRef,MATCH(LARGE(MStoneRange,(ROW()-$U$147-COUNTIF($T$148:$T153,"=0"))),MStoneRange,0),-1))</f>
        <v>Sapphire (Tiny Standard Grade)</v>
      </c>
      <c r="V153" s="146">
        <f ca="1">IF($T153=0,"",OFFSET(MStoneRef,MATCH(LARGE(MStoneRange,(ROW()-$U$147-COUNTIF($T$148:$T153,"=0"))),MStoneRange,0),0))</f>
        <v>43</v>
      </c>
    </row>
    <row r="154" spans="1:25" ht="12.75">
      <c r="A154" s="141"/>
      <c r="B154" s="160">
        <f t="shared" ca="1" si="41"/>
        <v>11</v>
      </c>
      <c r="C154" s="140" t="str">
        <f ca="1"/>
        <v>Very Common</v>
      </c>
      <c r="D154" s="93">
        <f t="shared" ca="1" si="42"/>
        <v>5</v>
      </c>
      <c r="E154" s="141">
        <f ca="1"/>
        <v>1</v>
      </c>
      <c r="F154" s="141">
        <f ca="1"/>
        <v>1</v>
      </c>
      <c r="G154" s="141">
        <f ca="1"/>
        <v>0</v>
      </c>
      <c r="H154" s="141" t="str">
        <f t="array" aca="1" ref="H154" ca="1">OFFSET(TypeLast,1-D154,0)</f>
        <v>Sardonyx</v>
      </c>
      <c r="I154" s="139">
        <f t="shared" ca="1" si="43"/>
        <v>111</v>
      </c>
      <c r="J154" s="142" t="str">
        <f ca="1"/>
        <v>Medium</v>
      </c>
      <c r="K154" s="143">
        <f t="shared" ca="1" si="44"/>
        <v>21</v>
      </c>
      <c r="L154" s="140" t="str">
        <f ca="1"/>
        <v>Inferior Grade</v>
      </c>
      <c r="M154" s="144" t="str">
        <f t="shared" ca="1" si="45"/>
        <v>Sardonyx (Medium Inferior Grade)</v>
      </c>
      <c r="N154" s="145">
        <f ca="1"/>
        <v>0.83250000000000002</v>
      </c>
      <c r="P154" s="68">
        <f t="shared" ca="1" si="56"/>
        <v>3</v>
      </c>
      <c r="Q154" s="83">
        <v>2</v>
      </c>
      <c r="R154" s="32" t="str">
        <f t="shared" ca="1" si="57"/>
        <v>Peridot (Medium Superior Grade)</v>
      </c>
      <c r="S154" s="146">
        <f t="shared" ca="1" si="58"/>
        <v>144</v>
      </c>
      <c r="T154">
        <f t="shared" ca="1" si="59"/>
        <v>1</v>
      </c>
      <c r="U154" s="68" t="str">
        <f ca="1">IF($T154=0,"",OFFSET(MStoneRef,MATCH(LARGE(MStoneRange,(ROW()-$U$147-COUNTIF($T$148:$T154,"=0"))),MStoneRange,0),-1))</f>
        <v>Coral (Tiny Standard Grade)</v>
      </c>
      <c r="V154" s="146">
        <f ca="1">IF($T154=0,"",OFFSET(MStoneRef,MATCH(LARGE(MStoneRange,(ROW()-$U$147-COUNTIF($T$148:$T154,"=0"))),MStoneRange,0),0))</f>
        <v>25</v>
      </c>
    </row>
    <row r="155" spans="1:25" ht="12.75">
      <c r="A155" s="141"/>
      <c r="B155" s="160">
        <f t="shared" ca="1" si="41"/>
        <v>63</v>
      </c>
      <c r="C155" s="140" t="str">
        <f ca="1"/>
        <v>Uncommon</v>
      </c>
      <c r="D155" s="93">
        <f t="shared" ca="1" si="42"/>
        <v>37</v>
      </c>
      <c r="E155" s="141">
        <f ca="1"/>
        <v>3</v>
      </c>
      <c r="F155" s="141">
        <f ca="1"/>
        <v>5</v>
      </c>
      <c r="G155" s="141">
        <f ca="1"/>
        <v>-20</v>
      </c>
      <c r="H155" s="141" t="str">
        <f t="array" aca="1" ref="H155" ca="1">OFFSET(TypeLast,1-D155,0)</f>
        <v>Ruby</v>
      </c>
      <c r="I155" s="139">
        <f t="shared" ca="1" si="43"/>
        <v>91</v>
      </c>
      <c r="J155" s="142" t="str">
        <f ca="1"/>
        <v>Medium</v>
      </c>
      <c r="K155" s="143">
        <f t="shared" ca="1" si="44"/>
        <v>60</v>
      </c>
      <c r="L155" s="140" t="str">
        <f ca="1"/>
        <v>Standard Grade</v>
      </c>
      <c r="M155" s="144" t="str">
        <f t="shared" ca="1" si="45"/>
        <v>Ruby (Medium Standard Grade)</v>
      </c>
      <c r="N155" s="145">
        <f ca="1"/>
        <v>91</v>
      </c>
      <c r="P155" s="68">
        <f t="shared" ca="1" si="56"/>
        <v>2</v>
      </c>
      <c r="Q155" s="83">
        <v>1</v>
      </c>
      <c r="R155" s="32" t="str">
        <f t="shared" ca="1" si="57"/>
        <v>Jet (Medium Standard Grade)</v>
      </c>
      <c r="S155" s="146">
        <f t="shared" ca="1" si="58"/>
        <v>124</v>
      </c>
      <c r="T155">
        <f t="shared" ca="1" si="59"/>
        <v>1</v>
      </c>
      <c r="U155" s="68" t="str">
        <f ca="1">IF($T155=0,"",OFFSET(MStoneRef,MATCH(LARGE(MStoneRange,(ROW()-$U$147-COUNTIF($T$148:$T155,"=0"))),MStoneRange,0),-1))</f>
        <v>Turquoise (Large Standard Grade)</v>
      </c>
      <c r="V155" s="146">
        <f ca="1">IF($T155=0,"",OFFSET(MStoneRef,MATCH(LARGE(MStoneRange,(ROW()-$U$147-COUNTIF($T$148:$T155,"=0"))),MStoneRange,0),0))</f>
        <v>13.8</v>
      </c>
    </row>
    <row r="156" spans="1:25" ht="12.75">
      <c r="A156" s="141"/>
      <c r="B156" s="160">
        <f t="shared" ca="1" si="41"/>
        <v>22</v>
      </c>
      <c r="C156" s="140" t="str">
        <f ca="1"/>
        <v>Very Common</v>
      </c>
      <c r="D156" s="93">
        <f t="shared" ca="1" si="42"/>
        <v>38</v>
      </c>
      <c r="E156" s="141">
        <f ca="1"/>
        <v>1</v>
      </c>
      <c r="F156" s="141">
        <f ca="1"/>
        <v>5</v>
      </c>
      <c r="G156" s="141">
        <f ca="1"/>
        <v>-40</v>
      </c>
      <c r="H156" s="141" t="str">
        <f t="array" aca="1" ref="H156" ca="1">OFFSET(TypeLast,1-D156,0)</f>
        <v>Diamond</v>
      </c>
      <c r="I156" s="139">
        <f t="shared" ca="1" si="43"/>
        <v>121</v>
      </c>
      <c r="J156" s="142" t="str">
        <f ca="1"/>
        <v>Medium</v>
      </c>
      <c r="K156" s="143">
        <f t="shared" ca="1" si="44"/>
        <v>68</v>
      </c>
      <c r="L156" s="140" t="str">
        <f ca="1"/>
        <v>Standard Grade</v>
      </c>
      <c r="M156" s="144" t="str">
        <f t="shared" ca="1" si="45"/>
        <v>Diamond (Medium Standard Grade)</v>
      </c>
      <c r="N156" s="145">
        <f ca="1"/>
        <v>1.21</v>
      </c>
      <c r="P156" s="68">
        <f t="shared" ca="1" si="56"/>
        <v>3</v>
      </c>
      <c r="Q156" s="83">
        <v>1</v>
      </c>
      <c r="R156" s="32" t="str">
        <f t="shared" ca="1" si="57"/>
        <v>Sapphire (Medium Standard Grade)</v>
      </c>
      <c r="S156" s="146">
        <f t="shared" ca="1" si="58"/>
        <v>97</v>
      </c>
      <c r="T156">
        <f t="shared" ca="1" si="59"/>
        <v>2</v>
      </c>
      <c r="U156" s="68" t="str">
        <f ca="1">IF($T156=0,"",OFFSET(MStoneRef,MATCH(LARGE(MStoneRange,(ROW()-$U$147-COUNTIF($T$148:$T156,"=0"))),MStoneRange,0),-1))</f>
        <v>Amethyst (Medium Standard Grade)</v>
      </c>
      <c r="V156" s="146">
        <f ca="1">IF($T156=0,"",OFFSET(MStoneRef,MATCH(LARGE(MStoneRange,(ROW()-$U$147-COUNTIF($T$148:$T156,"=0"))),MStoneRange,0),0))</f>
        <v>8.6</v>
      </c>
    </row>
    <row r="157" spans="1:25" ht="12.75">
      <c r="A157" s="141"/>
      <c r="B157" s="160">
        <f t="shared" ca="1" si="41"/>
        <v>82</v>
      </c>
      <c r="C157" s="140" t="str">
        <f ca="1"/>
        <v>Uncommon</v>
      </c>
      <c r="D157" s="93">
        <f t="shared" ca="1" si="42"/>
        <v>24</v>
      </c>
      <c r="E157" s="141">
        <f ca="1"/>
        <v>3</v>
      </c>
      <c r="F157" s="141">
        <f ca="1"/>
        <v>3</v>
      </c>
      <c r="G157" s="141">
        <f ca="1"/>
        <v>0</v>
      </c>
      <c r="H157" s="141" t="str">
        <f t="array" aca="1" ref="H157" ca="1">OFFSET(TypeLast,1-D157,0)</f>
        <v>Coral</v>
      </c>
      <c r="I157" s="139">
        <f t="shared" ca="1" si="43"/>
        <v>62</v>
      </c>
      <c r="J157" s="142" t="str">
        <f ca="1"/>
        <v>Small</v>
      </c>
      <c r="K157" s="143">
        <f t="shared" ca="1" si="44"/>
        <v>13</v>
      </c>
      <c r="L157" s="140" t="str">
        <f ca="1"/>
        <v>Inferior Grade</v>
      </c>
      <c r="M157" s="144" t="str">
        <f t="shared" ca="1" si="45"/>
        <v>Coral (Small Inferior Grade)</v>
      </c>
      <c r="N157" s="145">
        <f ca="1"/>
        <v>46.5</v>
      </c>
      <c r="P157" s="68">
        <f t="shared" ca="1" si="56"/>
        <v>2</v>
      </c>
      <c r="Q157" s="83">
        <v>1</v>
      </c>
      <c r="R157" s="32" t="str">
        <f t="shared" ca="1" si="57"/>
        <v>Amber (Small Superior Grade)</v>
      </c>
      <c r="S157" s="146">
        <f t="shared" ca="1" si="58"/>
        <v>96</v>
      </c>
      <c r="T157">
        <f t="shared" ca="1" si="59"/>
        <v>1</v>
      </c>
      <c r="U157" s="68" t="str">
        <f ca="1">IF($T157=0,"",OFFSET(MStoneRef,MATCH(LARGE(MStoneRange,(ROW()-$U$147-COUNTIF($T$148:$T157,"=0"))),MStoneRange,0),-1))</f>
        <v>Jet (Medium Standard Grade)</v>
      </c>
      <c r="V157" s="146">
        <f ca="1">IF($T157=0,"",OFFSET(MStoneRef,MATCH(LARGE(MStoneRange,(ROW()-$U$147-COUNTIF($T$148:$T157,"=0"))),MStoneRange,0),0))</f>
        <v>8.3000000000000007</v>
      </c>
    </row>
    <row r="158" spans="1:25" ht="12.75">
      <c r="A158" s="148"/>
      <c r="B158" s="169">
        <f t="shared" ca="1" si="41"/>
        <v>65</v>
      </c>
      <c r="C158" s="150" t="str">
        <f ca="1"/>
        <v>Uncommon</v>
      </c>
      <c r="D158" s="100">
        <f t="shared" ca="1" si="42"/>
        <v>23</v>
      </c>
      <c r="E158" s="148">
        <f ca="1"/>
        <v>3</v>
      </c>
      <c r="F158" s="148">
        <f ca="1"/>
        <v>3</v>
      </c>
      <c r="G158" s="148">
        <f ca="1"/>
        <v>0</v>
      </c>
      <c r="H158" s="148" t="str">
        <f t="array" aca="1" ref="H158" ca="1">OFFSET(TypeLast,1-D158,0)</f>
        <v>Onyx</v>
      </c>
      <c r="I158" s="149">
        <f t="shared" ca="1" si="43"/>
        <v>86</v>
      </c>
      <c r="J158" s="151" t="str">
        <f ca="1"/>
        <v>Medium</v>
      </c>
      <c r="K158" s="152">
        <f t="shared" ca="1" si="44"/>
        <v>52</v>
      </c>
      <c r="L158" s="150" t="str">
        <f ca="1"/>
        <v>Standard Grade</v>
      </c>
      <c r="M158" s="153" t="str">
        <f t="shared" ca="1" si="45"/>
        <v>Onyx (Medium Standard Grade)</v>
      </c>
      <c r="N158" s="154">
        <f ca="1"/>
        <v>86</v>
      </c>
      <c r="P158" s="68">
        <f t="shared" ca="1" si="56"/>
        <v>2</v>
      </c>
      <c r="Q158" s="83">
        <v>1</v>
      </c>
      <c r="R158" s="32" t="str">
        <f t="shared" ca="1" si="57"/>
        <v>Ruby (Medium Standard Grade)</v>
      </c>
      <c r="S158" s="146">
        <f t="shared" ca="1" si="58"/>
        <v>91</v>
      </c>
      <c r="T158">
        <f t="shared" ca="1" si="59"/>
        <v>1</v>
      </c>
      <c r="U158" s="68" t="str">
        <f ca="1">IF($T158=0,"",OFFSET(MStoneRef,MATCH(LARGE(MStoneRange,(ROW()-$U$147-COUNTIF($T$148:$T158,"=0"))),MStoneRange,0),-1))</f>
        <v>Opal (Medium Standard Grade)</v>
      </c>
      <c r="V158" s="146">
        <f ca="1">IF($T158=0,"",OFFSET(MStoneRef,MATCH(LARGE(MStoneRange,(ROW()-$U$147-COUNTIF($T$148:$T158,"=0"))),MStoneRange,0),0))</f>
        <v>7.5</v>
      </c>
    </row>
    <row r="159" spans="1:25" ht="12.75">
      <c r="P159" s="74">
        <f t="shared" ca="1" si="56"/>
        <v>6</v>
      </c>
      <c r="Q159" s="86">
        <v>1</v>
      </c>
      <c r="R159" s="39" t="str">
        <f t="shared" ca="1" si="57"/>
        <v>Onyx (Medium Standard Grade)</v>
      </c>
      <c r="S159" s="155">
        <f t="shared" ca="1" si="58"/>
        <v>86</v>
      </c>
      <c r="T159" s="38">
        <f t="shared" ca="1" si="59"/>
        <v>5</v>
      </c>
      <c r="U159" s="74" t="str">
        <f ca="1">IF($T159=0,"",OFFSET(MStoneRef,MATCH(LARGE(MStoneRange,(ROW()-$U$147-COUNTIF($T$148:$T159,"=0"))),MStoneRange,0),-1))</f>
        <v>Carnelian (Small Inferior Grade)</v>
      </c>
      <c r="V159" s="155">
        <f ca="1">IF($T159=0,"",OFFSET(MStoneRef,MATCH(LARGE(MStoneRange,(ROW()-$U$147-COUNTIF($T$148:$T159,"=0"))),MStoneRange,0),0))</f>
        <v>5.3999999999999995</v>
      </c>
    </row>
    <row r="161" spans="1:25" ht="12.75">
      <c r="A161" s="170" t="s">
        <v>243</v>
      </c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2"/>
      <c r="M161" s="172"/>
      <c r="N161" s="173"/>
      <c r="P161" s="228" t="s">
        <v>244</v>
      </c>
      <c r="Q161" s="214"/>
      <c r="R161" s="214"/>
      <c r="S161" s="214"/>
      <c r="T161" s="214"/>
      <c r="U161" s="214"/>
      <c r="V161" s="214"/>
      <c r="W161" s="214"/>
      <c r="X161" s="214"/>
      <c r="Y161" s="215"/>
    </row>
    <row r="162" spans="1:25" ht="12.75">
      <c r="A162" s="174"/>
      <c r="B162" s="175" t="s">
        <v>220</v>
      </c>
      <c r="C162" s="175" t="s">
        <v>81</v>
      </c>
      <c r="D162" s="175" t="s">
        <v>221</v>
      </c>
      <c r="E162" s="175" t="s">
        <v>222</v>
      </c>
      <c r="F162" s="175" t="s">
        <v>223</v>
      </c>
      <c r="G162" s="175" t="s">
        <v>224</v>
      </c>
      <c r="H162" s="175" t="s">
        <v>84</v>
      </c>
      <c r="I162" s="175" t="s">
        <v>225</v>
      </c>
      <c r="J162" s="175" t="s">
        <v>226</v>
      </c>
      <c r="K162" s="166" t="s">
        <v>227</v>
      </c>
      <c r="L162" s="166" t="s">
        <v>215</v>
      </c>
      <c r="M162" s="166" t="s">
        <v>32</v>
      </c>
      <c r="N162" s="166" t="s">
        <v>33</v>
      </c>
      <c r="P162" s="24" t="s">
        <v>55</v>
      </c>
      <c r="Q162" s="24" t="s">
        <v>84</v>
      </c>
      <c r="R162" s="24" t="s">
        <v>56</v>
      </c>
      <c r="S162" s="24" t="s">
        <v>73</v>
      </c>
      <c r="T162" s="24" t="s">
        <v>57</v>
      </c>
      <c r="U162" s="24" t="s">
        <v>215</v>
      </c>
      <c r="V162" s="43" t="s">
        <v>228</v>
      </c>
      <c r="W162" s="24" t="s">
        <v>32</v>
      </c>
      <c r="X162" s="24" t="s">
        <v>58</v>
      </c>
      <c r="Y162" s="24" t="s">
        <v>33</v>
      </c>
    </row>
    <row r="163" spans="1:25" ht="12.75">
      <c r="A163" s="176" t="s">
        <v>229</v>
      </c>
      <c r="B163" s="177">
        <f ca="1">WealthMod*100+A165</f>
        <v>20</v>
      </c>
      <c r="C163" s="166"/>
      <c r="D163" s="175"/>
      <c r="E163" s="166"/>
      <c r="F163" s="166"/>
      <c r="G163" s="166"/>
      <c r="H163" s="166"/>
      <c r="I163" s="177">
        <f ca="1">WealthMod*100+A165</f>
        <v>20</v>
      </c>
      <c r="J163" s="166"/>
      <c r="K163" s="177">
        <f ca="1">WealthMod*100+A165</f>
        <v>20</v>
      </c>
      <c r="L163" s="166"/>
      <c r="M163" s="166"/>
      <c r="N163" s="166"/>
      <c r="P163" s="24" t="s">
        <v>230</v>
      </c>
      <c r="Q163" s="82"/>
      <c r="R163" s="82">
        <f ca="1">ROUND((WealthMod+A165*0.01)*MaterialCount,0)</f>
        <v>2</v>
      </c>
      <c r="S163" s="77"/>
      <c r="T163" s="82">
        <f ca="1">WealthMod*100+A165</f>
        <v>20</v>
      </c>
      <c r="U163" s="77"/>
      <c r="V163" s="104"/>
      <c r="W163" s="82"/>
      <c r="X163" s="77"/>
      <c r="Y163" s="82"/>
    </row>
    <row r="164" spans="1:25" ht="12.75">
      <c r="A164" s="178" t="s">
        <v>231</v>
      </c>
      <c r="B164" s="156">
        <f t="shared" ref="B164:B188" ca="1" si="60">MAX(MIN(ROUND(RANDBETWEEN(1,100)+$B$163,0),100),1)</f>
        <v>100</v>
      </c>
      <c r="C164" s="157" t="str">
        <f t="array" aca="1" ref="C164:C188" ca="1">VLOOKUP(B164:B188,ProbR,2)</f>
        <v>Unique</v>
      </c>
      <c r="D164" s="179">
        <f t="shared" ref="D164:D188" ca="1" si="61">RANDBETWEEN(OFFSET(TypeRef,MATCH(C164,TypeRange,0)+1,1),OFFSET(TypeRef,MATCH(C164,TypeRange,0),1))</f>
        <v>41</v>
      </c>
      <c r="E164" s="162">
        <f t="array" aca="1" ref="E164:E188" ca="1">VLOOKUP(C164:C188,StoneV,3,FALSE)</f>
        <v>0</v>
      </c>
      <c r="F164" s="162">
        <f t="array" aca="1" ref="F164:F188" ca="1">IF(D164:D188&lt;D$26,C$25,IF(D164:D188&lt;D$27,C$26,IF(D164:D188&lt;D$28,C$27,IF(D164:D188&lt;D$29,C$28,IF(D164:D188&lt;D$30,C$29,C$30)))))</f>
        <v>0</v>
      </c>
      <c r="G164" s="180">
        <f t="array" aca="1" ref="G164:G188" ca="1">(E164:E188-F164:F188)*10</f>
        <v>0</v>
      </c>
      <c r="H164" s="181" t="str">
        <f t="array" aca="1" ref="H164" ca="1">OFFSET(TypeLast,1-D164,0)</f>
        <v>Black Opal</v>
      </c>
      <c r="I164" s="182">
        <f t="shared" ref="I164:I188" ca="1" si="62">MAX(MIN(IF(RANDBETWEEN(0,1)=0,RANDBETWEEN(1,75)+RANDBETWEEN(1,75),(RANDBETWEEN(1,100)+RANDBETWEEN(0,100)))+$I$163+G164,200),1)</f>
        <v>182</v>
      </c>
      <c r="J164" s="183" t="str">
        <f t="array" aca="1" ref="J164:J188" ca="1">IF(I164:I188&lt;50,"Tiny",IF(I164:I188&lt;75,"Small",IF(I164:I188&lt;125,"Medium",IF(I164:I188&lt;150,"Large","Huge"))))</f>
        <v>Huge</v>
      </c>
      <c r="K164" s="184">
        <f t="shared" ref="K164:K188" ca="1" si="63">MAX(MIN(RANDBETWEEN(1,100)+K$163+G164,100),1)</f>
        <v>23</v>
      </c>
      <c r="L164" s="163" t="str">
        <f t="array" aca="1" ref="L164:L188" ca="1">VLOOKUP(K164:K188,StoneQ,2,TRUE)</f>
        <v>Inferior Grade</v>
      </c>
      <c r="M164" s="163" t="str">
        <f t="shared" ref="M164:M188" ca="1" si="64">CONCATENATE(H164," (",J164," ",L164,")")</f>
        <v>Black Opal (Huge Inferior Grade)</v>
      </c>
      <c r="N164" s="185">
        <f t="array" aca="1" ref="N164:N188" ca="1">VLOOKUP(C164:C188,StoneV,2,FALSE)*(I164:I188*0.01)*VLOOKUP(K164:K188,StoneQ,3,TRUE)</f>
        <v>6825</v>
      </c>
      <c r="P164" s="159">
        <f t="shared" ref="P164:P175" ca="1" si="65">IF(RANDBETWEEN(1,2)=1,RANDBETWEEN(1,ItemCommonCount),IF(RANDBETWEEN(1,2)=1,(RANDBETWEEN(1,ItemUncommonCount)+ItemCommonCount),IF(RANDBETWEEN(1,2)=1,(RANDBETWEEN(1,ItemRareCount)+ItemCommonCount+ItemUncommonCount),(RANDBETWEEN(1,ItemUniqueCount)+ItemCommonCount+ItemUncommonCount+ItemRareCount))))</f>
        <v>21</v>
      </c>
      <c r="Q164" s="46" t="str">
        <f t="shared" ref="Q164:Q175" ca="1" si="66">OFFSET(ItemTypeRef,P164,0)</f>
        <v>Tiara</v>
      </c>
      <c r="R164" s="82">
        <f t="shared" ref="R164:R175" ca="1" si="67">RANDBETWEEN(1,MaterialCount)+$R$163</f>
        <v>5</v>
      </c>
      <c r="S164" s="27" t="str">
        <f t="shared" ref="S164:S175" ca="1" si="68">IF(R164&lt;1,OFFSET(MaterialRef,1,0),IF(R164&lt;=MaterialCount,OFFSET(MaterialRef,R164,0),OFFSET(MaterialRef,MaterialCount,0)))</f>
        <v>Copper</v>
      </c>
      <c r="T164" s="82">
        <f t="shared" ref="T164:T175" ca="1" si="69">RANDBETWEEN(1,100)+$T$163</f>
        <v>92</v>
      </c>
      <c r="U164" s="28" t="str">
        <f t="shared" ref="U164:U175" ca="1" si="70">IF(T164&lt;OFFSET(ProbQ,1,3),OFFSET(ProbQ,1,0),(IF(T164&lt;OFFSET(ProbQ,2,3),OFFSET(ProbQ,2,0),IF(T164&lt;OFFSET(ProbQ,3,3),OFFSET(ProbQ,3,0),OFFSET(ProbQ,4,0)))))</f>
        <v>Masterwork</v>
      </c>
      <c r="V164" s="46" t="str">
        <f t="shared" ref="V164:V175" ca="1" si="71">OFFSET(CraftRef,RANDBETWEEN(1,CraftNum),MATCH($U164,CraftRange,0)-1)</f>
        <v>Magnificient</v>
      </c>
      <c r="W164" s="82" t="str">
        <f t="shared" ref="W164:W175" ca="1" si="72">CONCATENATE(V164," ",S164," ",Q164,", set with ",Q178," ",R178,IF(T178=0,"",CONCATENATE(" and ",T178," ",U178)),IF(Q164="Earrings",", Pair",""))</f>
        <v>Magnificient Copper Tiara, set with 3 Black Opal (Large Flawless) and 15 Ruby (Medium Standard Grade)</v>
      </c>
      <c r="X164" s="27">
        <f t="shared" ref="X164:X175" ca="1" si="73">OFFSET(ItemTypeRef,MATCH(Q164,ItemTypeRange,0),1)</f>
        <v>0.5</v>
      </c>
      <c r="Y164" s="138">
        <f t="shared" ref="Y164:Y175" ca="1" si="74">(X164*OFFSET(MaterialRef,MATCH($S164,MaterialRange,0),2)*OFFSET(MaterialRef,MATCH($S164,MaterialRange,0),1))+(OFFSET(MaterialRef,MATCH($S164,MaterialRange,0),3)*OFFSET(QRef,MATCH(U164,QRange,0),1)*OFFSET($P$15,$P164,2)/2)+(((Q178*S178)+(T178*V178))*IF(Q164="Earrings",2,1))</f>
        <v>43369.80000000001</v>
      </c>
    </row>
    <row r="165" spans="1:25" ht="12.75">
      <c r="A165" s="186">
        <v>20</v>
      </c>
      <c r="B165" s="160">
        <f t="shared" ca="1" si="60"/>
        <v>80</v>
      </c>
      <c r="C165" s="163" t="str">
        <f ca="1"/>
        <v>Uncommon</v>
      </c>
      <c r="D165" s="179">
        <f t="shared" ca="1" si="61"/>
        <v>26</v>
      </c>
      <c r="E165" s="162">
        <f ca="1"/>
        <v>3</v>
      </c>
      <c r="F165" s="162">
        <f ca="1"/>
        <v>3</v>
      </c>
      <c r="G165" s="180">
        <f ca="1"/>
        <v>0</v>
      </c>
      <c r="H165" s="181" t="str">
        <f t="array" aca="1" ref="H165" ca="1">OFFSET(TypeLast,1-D165,0)</f>
        <v>Peridot</v>
      </c>
      <c r="I165" s="187">
        <f t="shared" ca="1" si="62"/>
        <v>94</v>
      </c>
      <c r="J165" s="183" t="str">
        <f ca="1"/>
        <v>Medium</v>
      </c>
      <c r="K165" s="188">
        <f t="shared" ca="1" si="63"/>
        <v>86</v>
      </c>
      <c r="L165" s="163" t="str">
        <f ca="1"/>
        <v>Superior Grade</v>
      </c>
      <c r="M165" s="163" t="str">
        <f t="shared" ca="1" si="64"/>
        <v>Peridot (Medium Superior Grade)</v>
      </c>
      <c r="N165" s="185">
        <f ca="1"/>
        <v>141</v>
      </c>
      <c r="P165" s="161">
        <f t="shared" ca="1" si="65"/>
        <v>22</v>
      </c>
      <c r="Q165" s="68" t="str">
        <f t="shared" ca="1" si="66"/>
        <v>Chalice</v>
      </c>
      <c r="R165" s="83">
        <f t="shared" ca="1" si="67"/>
        <v>7</v>
      </c>
      <c r="S165" t="str">
        <f t="shared" ca="1" si="68"/>
        <v>Electrum</v>
      </c>
      <c r="T165" s="83">
        <f t="shared" ca="1" si="69"/>
        <v>82</v>
      </c>
      <c r="U165" s="32" t="str">
        <f t="shared" ca="1" si="70"/>
        <v>High</v>
      </c>
      <c r="V165" s="68" t="str">
        <f t="shared" ca="1" si="71"/>
        <v>Fine</v>
      </c>
      <c r="W165" s="83" t="str">
        <f t="shared" ca="1" si="72"/>
        <v>Fine Electrum Chalice, set with 5 Black Sapphire (Medium Superior Grade) and 11 Onyx (Medium Standard Grade)</v>
      </c>
      <c r="X165">
        <f t="shared" ca="1" si="73"/>
        <v>1</v>
      </c>
      <c r="Y165" s="146">
        <f t="shared" ca="1" si="74"/>
        <v>46354</v>
      </c>
    </row>
    <row r="166" spans="1:25" ht="12.75">
      <c r="A166" s="189"/>
      <c r="B166" s="160">
        <f t="shared" ca="1" si="60"/>
        <v>68</v>
      </c>
      <c r="C166" s="163" t="str">
        <f ca="1"/>
        <v>Uncommon</v>
      </c>
      <c r="D166" s="179">
        <f t="shared" ca="1" si="61"/>
        <v>21</v>
      </c>
      <c r="E166" s="162">
        <f ca="1"/>
        <v>3</v>
      </c>
      <c r="F166" s="162">
        <f ca="1"/>
        <v>3</v>
      </c>
      <c r="G166" s="180">
        <f ca="1"/>
        <v>0</v>
      </c>
      <c r="H166" s="181" t="str">
        <f t="array" aca="1" ref="H166" ca="1">OFFSET(TypeLast,1-D166,0)</f>
        <v>Carnelian</v>
      </c>
      <c r="I166" s="187">
        <f t="shared" ca="1" si="62"/>
        <v>126</v>
      </c>
      <c r="J166" s="183" t="str">
        <f ca="1"/>
        <v>Large</v>
      </c>
      <c r="K166" s="188">
        <f t="shared" ca="1" si="63"/>
        <v>60</v>
      </c>
      <c r="L166" s="163" t="str">
        <f ca="1"/>
        <v>Standard Grade</v>
      </c>
      <c r="M166" s="163" t="str">
        <f t="shared" ca="1" si="64"/>
        <v>Carnelian (Large Standard Grade)</v>
      </c>
      <c r="N166" s="185">
        <f ca="1"/>
        <v>126</v>
      </c>
      <c r="P166" s="161">
        <f t="shared" ca="1" si="65"/>
        <v>21</v>
      </c>
      <c r="Q166" s="68" t="str">
        <f t="shared" ca="1" si="66"/>
        <v>Tiara</v>
      </c>
      <c r="R166" s="83">
        <f t="shared" ca="1" si="67"/>
        <v>5</v>
      </c>
      <c r="S166" t="str">
        <f t="shared" ca="1" si="68"/>
        <v>Copper</v>
      </c>
      <c r="T166" s="83">
        <f t="shared" ca="1" si="69"/>
        <v>48</v>
      </c>
      <c r="U166" s="32" t="str">
        <f t="shared" ca="1" si="70"/>
        <v>Average</v>
      </c>
      <c r="V166" s="68" t="str">
        <f t="shared" ca="1" si="71"/>
        <v>Unexceptional</v>
      </c>
      <c r="W166" s="83" t="str">
        <f t="shared" ca="1" si="72"/>
        <v>Unexceptional Copper Tiara, set with 4 Star Ruby (Medium Flawless) and -2 Pearl (Small Standard Grade)</v>
      </c>
      <c r="X166">
        <f t="shared" ca="1" si="73"/>
        <v>0.5</v>
      </c>
      <c r="Y166" s="146">
        <f t="shared" ca="1" si="74"/>
        <v>34262.800000000003</v>
      </c>
    </row>
    <row r="167" spans="1:25" ht="12.75">
      <c r="A167" s="189"/>
      <c r="B167" s="160">
        <f t="shared" ca="1" si="60"/>
        <v>58</v>
      </c>
      <c r="C167" s="163" t="str">
        <f ca="1"/>
        <v>Common</v>
      </c>
      <c r="D167" s="179">
        <f t="shared" ca="1" si="61"/>
        <v>16</v>
      </c>
      <c r="E167" s="162">
        <f ca="1"/>
        <v>2</v>
      </c>
      <c r="F167" s="162">
        <f ca="1"/>
        <v>2</v>
      </c>
      <c r="G167" s="180">
        <f ca="1"/>
        <v>0</v>
      </c>
      <c r="H167" s="181" t="str">
        <f t="array" aca="1" ref="H167" ca="1">OFFSET(TypeLast,1-D167,0)</f>
        <v>Azurite</v>
      </c>
      <c r="I167" s="187">
        <f t="shared" ca="1" si="62"/>
        <v>141</v>
      </c>
      <c r="J167" s="183" t="str">
        <f ca="1"/>
        <v>Large</v>
      </c>
      <c r="K167" s="188">
        <f t="shared" ca="1" si="63"/>
        <v>90</v>
      </c>
      <c r="L167" s="163" t="str">
        <f ca="1"/>
        <v>Superior Grade</v>
      </c>
      <c r="M167" s="163" t="str">
        <f t="shared" ca="1" si="64"/>
        <v>Azurite (Large Superior Grade)</v>
      </c>
      <c r="N167" s="185">
        <f ca="1"/>
        <v>21.15</v>
      </c>
      <c r="P167" s="161">
        <f t="shared" ca="1" si="65"/>
        <v>5</v>
      </c>
      <c r="Q167" s="68" t="str">
        <f t="shared" ca="1" si="66"/>
        <v>Bracelet</v>
      </c>
      <c r="R167" s="83">
        <f t="shared" ca="1" si="67"/>
        <v>9</v>
      </c>
      <c r="S167" t="str">
        <f t="shared" ca="1" si="68"/>
        <v>Platinum</v>
      </c>
      <c r="T167" s="83">
        <f t="shared" ca="1" si="69"/>
        <v>69</v>
      </c>
      <c r="U167" s="32" t="str">
        <f t="shared" ca="1" si="70"/>
        <v>High</v>
      </c>
      <c r="V167" s="68" t="str">
        <f t="shared" ca="1" si="71"/>
        <v>Elegant</v>
      </c>
      <c r="W167" s="83" t="str">
        <f t="shared" ca="1" si="72"/>
        <v>Elegant Platinum Bracelet, set with 6 Black Opal (Huge Inferior Grade) and 3 Onyx (Medium Inferior Grade)</v>
      </c>
      <c r="X167">
        <f t="shared" ca="1" si="73"/>
        <v>0.1</v>
      </c>
      <c r="Y167" s="146">
        <f t="shared" ca="1" si="74"/>
        <v>41199.75</v>
      </c>
    </row>
    <row r="168" spans="1:25" ht="12.75">
      <c r="A168" s="189"/>
      <c r="B168" s="160">
        <f t="shared" ca="1" si="60"/>
        <v>64</v>
      </c>
      <c r="C168" s="163" t="str">
        <f ca="1"/>
        <v>Uncommon</v>
      </c>
      <c r="D168" s="179">
        <f t="shared" ca="1" si="61"/>
        <v>36</v>
      </c>
      <c r="E168" s="162">
        <f ca="1"/>
        <v>3</v>
      </c>
      <c r="F168" s="162">
        <f ca="1"/>
        <v>5</v>
      </c>
      <c r="G168" s="180">
        <f ca="1"/>
        <v>-20</v>
      </c>
      <c r="H168" s="181" t="str">
        <f t="array" aca="1" ref="H168" ca="1">OFFSET(TypeLast,1-D168,0)</f>
        <v>Opal</v>
      </c>
      <c r="I168" s="187">
        <f t="shared" ca="1" si="62"/>
        <v>88</v>
      </c>
      <c r="J168" s="183" t="str">
        <f ca="1"/>
        <v>Medium</v>
      </c>
      <c r="K168" s="188">
        <f t="shared" ca="1" si="63"/>
        <v>92</v>
      </c>
      <c r="L168" s="163" t="str">
        <f ca="1"/>
        <v>Superior Grade</v>
      </c>
      <c r="M168" s="163" t="str">
        <f t="shared" ca="1" si="64"/>
        <v>Opal (Medium Superior Grade)</v>
      </c>
      <c r="N168" s="185">
        <f ca="1"/>
        <v>132</v>
      </c>
      <c r="P168" s="161">
        <f t="shared" ca="1" si="65"/>
        <v>2</v>
      </c>
      <c r="Q168" s="68" t="str">
        <f t="shared" ca="1" si="66"/>
        <v>Earrings</v>
      </c>
      <c r="R168" s="83">
        <f t="shared" ca="1" si="67"/>
        <v>10</v>
      </c>
      <c r="S168" t="str">
        <f t="shared" ca="1" si="68"/>
        <v>Mithril</v>
      </c>
      <c r="T168" s="83">
        <f t="shared" ca="1" si="69"/>
        <v>110</v>
      </c>
      <c r="U168" s="32" t="str">
        <f t="shared" ca="1" si="70"/>
        <v>Masterwork</v>
      </c>
      <c r="V168" s="68" t="str">
        <f t="shared" ca="1" si="71"/>
        <v>Extraordinary</v>
      </c>
      <c r="W168" s="83" t="str">
        <f t="shared" ca="1" si="72"/>
        <v>Extraordinary Mithril Earrings, set with 1 Black Sapphire (Small Standard Grade) and 13 Coral (Small Inferior Grade), Pair</v>
      </c>
      <c r="X168">
        <f t="shared" ca="1" si="73"/>
        <v>2E-3</v>
      </c>
      <c r="Y168" s="146">
        <f t="shared" ca="1" si="74"/>
        <v>8033.9000000000005</v>
      </c>
    </row>
    <row r="169" spans="1:25" ht="12.75">
      <c r="A169" s="189"/>
      <c r="B169" s="160">
        <f t="shared" ca="1" si="60"/>
        <v>63</v>
      </c>
      <c r="C169" s="163" t="str">
        <f ca="1"/>
        <v>Uncommon</v>
      </c>
      <c r="D169" s="179">
        <f t="shared" ca="1" si="61"/>
        <v>27</v>
      </c>
      <c r="E169" s="162">
        <f ca="1"/>
        <v>3</v>
      </c>
      <c r="F169" s="162">
        <f ca="1"/>
        <v>4</v>
      </c>
      <c r="G169" s="180">
        <f ca="1"/>
        <v>-10</v>
      </c>
      <c r="H169" s="181" t="str">
        <f t="array" aca="1" ref="H169" ca="1">OFFSET(TypeLast,1-D169,0)</f>
        <v>Garnet</v>
      </c>
      <c r="I169" s="187">
        <f t="shared" ca="1" si="62"/>
        <v>193</v>
      </c>
      <c r="J169" s="183" t="str">
        <f ca="1"/>
        <v>Huge</v>
      </c>
      <c r="K169" s="188">
        <f t="shared" ca="1" si="63"/>
        <v>26</v>
      </c>
      <c r="L169" s="163" t="str">
        <f ca="1"/>
        <v>Standard Grade</v>
      </c>
      <c r="M169" s="163" t="str">
        <f t="shared" ca="1" si="64"/>
        <v>Garnet (Huge Standard Grade)</v>
      </c>
      <c r="N169" s="185">
        <f ca="1"/>
        <v>193</v>
      </c>
      <c r="P169" s="161">
        <f t="shared" ca="1" si="65"/>
        <v>1</v>
      </c>
      <c r="Q169" s="68" t="str">
        <f t="shared" ca="1" si="66"/>
        <v>Ring</v>
      </c>
      <c r="R169" s="83">
        <f t="shared" ca="1" si="67"/>
        <v>4</v>
      </c>
      <c r="S169" t="str">
        <f t="shared" ca="1" si="68"/>
        <v>Bronze</v>
      </c>
      <c r="T169" s="83">
        <f t="shared" ca="1" si="69"/>
        <v>24</v>
      </c>
      <c r="U169" s="32" t="str">
        <f t="shared" ca="1" si="70"/>
        <v>Average</v>
      </c>
      <c r="V169" s="68" t="str">
        <f t="shared" ca="1" si="71"/>
        <v>Common</v>
      </c>
      <c r="W169" s="83" t="str">
        <f t="shared" ca="1" si="72"/>
        <v>Common Bronze Ring, set with 3 Black Sapphire (Small Standard Grade) and 6 Sapphire (Tiny Standard Grade)</v>
      </c>
      <c r="X169">
        <f t="shared" ca="1" si="73"/>
        <v>1E-3</v>
      </c>
      <c r="Y169" s="146">
        <f t="shared" ca="1" si="74"/>
        <v>10459.000480000002</v>
      </c>
    </row>
    <row r="170" spans="1:25" ht="12.75">
      <c r="A170" s="189"/>
      <c r="B170" s="160">
        <f t="shared" ca="1" si="60"/>
        <v>34</v>
      </c>
      <c r="C170" s="163" t="str">
        <f ca="1"/>
        <v>Common</v>
      </c>
      <c r="D170" s="179">
        <f t="shared" ca="1" si="61"/>
        <v>14</v>
      </c>
      <c r="E170" s="162">
        <f ca="1"/>
        <v>2</v>
      </c>
      <c r="F170" s="162">
        <f ca="1"/>
        <v>2</v>
      </c>
      <c r="G170" s="180">
        <f ca="1"/>
        <v>0</v>
      </c>
      <c r="H170" s="181" t="str">
        <f t="array" aca="1" ref="H170" ca="1">OFFSET(TypeLast,1-D170,0)</f>
        <v>Tiger Eye</v>
      </c>
      <c r="I170" s="187">
        <f t="shared" ca="1" si="62"/>
        <v>62</v>
      </c>
      <c r="J170" s="183" t="str">
        <f ca="1"/>
        <v>Small</v>
      </c>
      <c r="K170" s="188">
        <f t="shared" ca="1" si="63"/>
        <v>100</v>
      </c>
      <c r="L170" s="163" t="str">
        <f ca="1"/>
        <v>Flawless</v>
      </c>
      <c r="M170" s="163" t="str">
        <f t="shared" ca="1" si="64"/>
        <v>Tiger Eye (Small Flawless)</v>
      </c>
      <c r="N170" s="185">
        <f ca="1"/>
        <v>12.4</v>
      </c>
      <c r="P170" s="161">
        <f t="shared" ca="1" si="65"/>
        <v>3</v>
      </c>
      <c r="Q170" s="68" t="str">
        <f t="shared" ca="1" si="66"/>
        <v>Pendant</v>
      </c>
      <c r="R170" s="83">
        <f t="shared" ca="1" si="67"/>
        <v>8</v>
      </c>
      <c r="S170" t="str">
        <f t="shared" ca="1" si="68"/>
        <v>Gold</v>
      </c>
      <c r="T170" s="83">
        <f t="shared" ca="1" si="69"/>
        <v>99</v>
      </c>
      <c r="U170" s="32" t="str">
        <f t="shared" ca="1" si="70"/>
        <v>Masterwork</v>
      </c>
      <c r="V170" s="68" t="str">
        <f t="shared" ca="1" si="71"/>
        <v>Extraordinary</v>
      </c>
      <c r="W170" s="83" t="str">
        <f t="shared" ca="1" si="72"/>
        <v>Extraordinary Gold Pendant, set with 1 Black Opal (Medium Inferior Grade) and 3 Coral (Tiny Standard Grade)</v>
      </c>
      <c r="X170">
        <f t="shared" ca="1" si="73"/>
        <v>5.0000000000000001E-3</v>
      </c>
      <c r="Y170" s="146">
        <f t="shared" ca="1" si="74"/>
        <v>3267.3</v>
      </c>
    </row>
    <row r="171" spans="1:25" ht="12.75">
      <c r="A171" s="189"/>
      <c r="B171" s="160">
        <f t="shared" ca="1" si="60"/>
        <v>83</v>
      </c>
      <c r="C171" s="163" t="str">
        <f ca="1"/>
        <v>Uncommon</v>
      </c>
      <c r="D171" s="179">
        <f t="shared" ca="1" si="61"/>
        <v>26</v>
      </c>
      <c r="E171" s="162">
        <f ca="1"/>
        <v>3</v>
      </c>
      <c r="F171" s="162">
        <f ca="1"/>
        <v>3</v>
      </c>
      <c r="G171" s="180">
        <f ca="1"/>
        <v>0</v>
      </c>
      <c r="H171" s="181" t="str">
        <f t="array" aca="1" ref="H171" ca="1">OFFSET(TypeLast,1-D171,0)</f>
        <v>Peridot</v>
      </c>
      <c r="I171" s="187">
        <f t="shared" ca="1" si="62"/>
        <v>53</v>
      </c>
      <c r="J171" s="183" t="str">
        <f ca="1"/>
        <v>Small</v>
      </c>
      <c r="K171" s="188">
        <f t="shared" ca="1" si="63"/>
        <v>100</v>
      </c>
      <c r="L171" s="163" t="str">
        <f ca="1"/>
        <v>Flawless</v>
      </c>
      <c r="M171" s="163" t="str">
        <f t="shared" ca="1" si="64"/>
        <v>Peridot (Small Flawless)</v>
      </c>
      <c r="N171" s="185">
        <f ca="1"/>
        <v>106</v>
      </c>
      <c r="P171" s="161">
        <f t="shared" ca="1" si="65"/>
        <v>10</v>
      </c>
      <c r="Q171" s="68" t="str">
        <f t="shared" ca="1" si="66"/>
        <v>Carving Knife</v>
      </c>
      <c r="R171" s="83">
        <f t="shared" ca="1" si="67"/>
        <v>10</v>
      </c>
      <c r="S171" t="str">
        <f t="shared" ca="1" si="68"/>
        <v>Mithril</v>
      </c>
      <c r="T171" s="83">
        <f t="shared" ca="1" si="69"/>
        <v>31</v>
      </c>
      <c r="U171" s="32" t="str">
        <f t="shared" ca="1" si="70"/>
        <v>Average</v>
      </c>
      <c r="V171" s="68" t="str">
        <f t="shared" ca="1" si="71"/>
        <v>Fair</v>
      </c>
      <c r="W171" s="83" t="str">
        <f t="shared" ca="1" si="72"/>
        <v>Fair Mithril Carving Knife, set with 1 Sapphire (Large Flawless) and 6 Turquoise (Large Standard Grade)</v>
      </c>
      <c r="X171">
        <f t="shared" ca="1" si="73"/>
        <v>0.5</v>
      </c>
      <c r="Y171" s="146">
        <f t="shared" ca="1" si="74"/>
        <v>3525.3</v>
      </c>
    </row>
    <row r="172" spans="1:25" ht="12.75">
      <c r="A172" s="189"/>
      <c r="B172" s="160">
        <f t="shared" ca="1" si="60"/>
        <v>24</v>
      </c>
      <c r="C172" s="163" t="str">
        <f ca="1"/>
        <v>Very Common</v>
      </c>
      <c r="D172" s="179">
        <f t="shared" ca="1" si="61"/>
        <v>24</v>
      </c>
      <c r="E172" s="162">
        <f ca="1"/>
        <v>1</v>
      </c>
      <c r="F172" s="162">
        <f ca="1"/>
        <v>3</v>
      </c>
      <c r="G172" s="180">
        <f ca="1"/>
        <v>-20</v>
      </c>
      <c r="H172" s="181" t="str">
        <f t="array" aca="1" ref="H172" ca="1">OFFSET(TypeLast,1-D172,0)</f>
        <v>Coral</v>
      </c>
      <c r="I172" s="187">
        <f t="shared" ca="1" si="62"/>
        <v>62</v>
      </c>
      <c r="J172" s="183" t="str">
        <f ca="1"/>
        <v>Small</v>
      </c>
      <c r="K172" s="188">
        <f t="shared" ca="1" si="63"/>
        <v>32</v>
      </c>
      <c r="L172" s="163" t="str">
        <f ca="1"/>
        <v>Standard Grade</v>
      </c>
      <c r="M172" s="163" t="str">
        <f t="shared" ca="1" si="64"/>
        <v>Coral (Small Standard Grade)</v>
      </c>
      <c r="N172" s="185">
        <f ca="1"/>
        <v>0.62</v>
      </c>
      <c r="P172" s="161">
        <f t="shared" ca="1" si="65"/>
        <v>4</v>
      </c>
      <c r="Q172" s="68" t="str">
        <f t="shared" ca="1" si="66"/>
        <v>Necklace</v>
      </c>
      <c r="R172" s="83">
        <f t="shared" ca="1" si="67"/>
        <v>8</v>
      </c>
      <c r="S172" t="str">
        <f t="shared" ca="1" si="68"/>
        <v>Gold</v>
      </c>
      <c r="T172" s="83">
        <f t="shared" ca="1" si="69"/>
        <v>110</v>
      </c>
      <c r="U172" s="32" t="str">
        <f t="shared" ca="1" si="70"/>
        <v>Masterwork</v>
      </c>
      <c r="V172" s="68" t="str">
        <f t="shared" ca="1" si="71"/>
        <v>Extraordinary</v>
      </c>
      <c r="W172" s="83" t="str">
        <f t="shared" ca="1" si="72"/>
        <v>Extraordinary Gold Necklace, set with 11 Star Sapphire (Tiny Standard Grade) and -9 Amethyst (Medium Standard Grade)</v>
      </c>
      <c r="X172">
        <f t="shared" ca="1" si="73"/>
        <v>0.01</v>
      </c>
      <c r="Y172" s="146">
        <f t="shared" ca="1" si="74"/>
        <v>21379.949999999997</v>
      </c>
    </row>
    <row r="173" spans="1:25" ht="12.75">
      <c r="A173" s="189"/>
      <c r="B173" s="160">
        <f t="shared" ca="1" si="60"/>
        <v>100</v>
      </c>
      <c r="C173" s="163" t="str">
        <f ca="1"/>
        <v>Unique</v>
      </c>
      <c r="D173" s="179">
        <f t="shared" ca="1" si="61"/>
        <v>39</v>
      </c>
      <c r="E173" s="162">
        <f ca="1"/>
        <v>0</v>
      </c>
      <c r="F173" s="162">
        <f ca="1"/>
        <v>0</v>
      </c>
      <c r="G173" s="180">
        <f ca="1"/>
        <v>0</v>
      </c>
      <c r="H173" s="181" t="str">
        <f t="array" aca="1" ref="H173" ca="1">OFFSET(TypeLast,1-D173,0)</f>
        <v>Black Sapphire</v>
      </c>
      <c r="I173" s="187">
        <f t="shared" ca="1" si="62"/>
        <v>121</v>
      </c>
      <c r="J173" s="183" t="str">
        <f ca="1"/>
        <v>Medium</v>
      </c>
      <c r="K173" s="188">
        <f t="shared" ca="1" si="63"/>
        <v>80</v>
      </c>
      <c r="L173" s="163" t="str">
        <f ca="1"/>
        <v>Superior Grade</v>
      </c>
      <c r="M173" s="163" t="str">
        <f t="shared" ca="1" si="64"/>
        <v>Black Sapphire (Medium Superior Grade)</v>
      </c>
      <c r="N173" s="185">
        <f ca="1"/>
        <v>9075</v>
      </c>
      <c r="P173" s="161">
        <f t="shared" ca="1" si="65"/>
        <v>3</v>
      </c>
      <c r="Q173" s="68" t="str">
        <f t="shared" ca="1" si="66"/>
        <v>Pendant</v>
      </c>
      <c r="R173" s="83">
        <f t="shared" ca="1" si="67"/>
        <v>5</v>
      </c>
      <c r="S173" t="str">
        <f t="shared" ca="1" si="68"/>
        <v>Copper</v>
      </c>
      <c r="T173" s="83">
        <f t="shared" ca="1" si="69"/>
        <v>119</v>
      </c>
      <c r="U173" s="32" t="str">
        <f t="shared" ca="1" si="70"/>
        <v>Masterwork</v>
      </c>
      <c r="V173" s="68" t="str">
        <f t="shared" ca="1" si="71"/>
        <v>Magnificient</v>
      </c>
      <c r="W173" s="83" t="str">
        <f t="shared" ca="1" si="72"/>
        <v>Magnificient Copper Pendant, set with 1 Opal (Large Standard Grade) and 3 Jet (Medium Standard Grade)</v>
      </c>
      <c r="X173">
        <f t="shared" ca="1" si="73"/>
        <v>5.0000000000000001E-3</v>
      </c>
      <c r="Y173" s="146">
        <f t="shared" ca="1" si="74"/>
        <v>657.15300000000002</v>
      </c>
    </row>
    <row r="174" spans="1:25" ht="12.75">
      <c r="A174" s="189"/>
      <c r="B174" s="160">
        <f t="shared" ca="1" si="60"/>
        <v>96</v>
      </c>
      <c r="C174" s="163" t="str">
        <f ca="1"/>
        <v>Very Rare</v>
      </c>
      <c r="D174" s="179">
        <f t="shared" ca="1" si="61"/>
        <v>35</v>
      </c>
      <c r="E174" s="162">
        <f ca="1"/>
        <v>5</v>
      </c>
      <c r="F174" s="162">
        <f ca="1"/>
        <v>5</v>
      </c>
      <c r="G174" s="180">
        <f ca="1"/>
        <v>0</v>
      </c>
      <c r="H174" s="181" t="str">
        <f t="array" aca="1" ref="H174" ca="1">OFFSET(TypeLast,1-D174,0)</f>
        <v>Sapphire</v>
      </c>
      <c r="I174" s="187">
        <f t="shared" ca="1" si="62"/>
        <v>142</v>
      </c>
      <c r="J174" s="183" t="str">
        <f ca="1"/>
        <v>Large</v>
      </c>
      <c r="K174" s="188">
        <f t="shared" ca="1" si="63"/>
        <v>100</v>
      </c>
      <c r="L174" s="163" t="str">
        <f ca="1"/>
        <v>Flawless</v>
      </c>
      <c r="M174" s="163" t="str">
        <f t="shared" ca="1" si="64"/>
        <v>Sapphire (Large Flawless)</v>
      </c>
      <c r="N174" s="185">
        <f ca="1"/>
        <v>2840</v>
      </c>
      <c r="P174" s="161">
        <f t="shared" ca="1" si="65"/>
        <v>2</v>
      </c>
      <c r="Q174" s="68" t="str">
        <f t="shared" ca="1" si="66"/>
        <v>Earrings</v>
      </c>
      <c r="R174" s="83">
        <f t="shared" ca="1" si="67"/>
        <v>6</v>
      </c>
      <c r="S174" s="96" t="str">
        <f t="shared" ca="1" si="68"/>
        <v>Silver</v>
      </c>
      <c r="T174" s="83">
        <f t="shared" ca="1" si="69"/>
        <v>55</v>
      </c>
      <c r="U174" s="163" t="str">
        <f t="shared" ca="1" si="70"/>
        <v>Average</v>
      </c>
      <c r="V174" s="68" t="str">
        <f t="shared" ca="1" si="71"/>
        <v>Common</v>
      </c>
      <c r="W174" s="83" t="str">
        <f t="shared" ca="1" si="72"/>
        <v>Common Silver Earrings, set with 1 Garnet (Huge Standard Grade) and 5 Opal (Medium Standard Grade), Pair</v>
      </c>
      <c r="X174" s="158">
        <f t="shared" ca="1" si="73"/>
        <v>2E-3</v>
      </c>
      <c r="Y174" s="146">
        <f t="shared" ca="1" si="74"/>
        <v>461.512</v>
      </c>
    </row>
    <row r="175" spans="1:25" ht="12.75">
      <c r="A175" s="189"/>
      <c r="B175" s="160">
        <f t="shared" ca="1" si="60"/>
        <v>100</v>
      </c>
      <c r="C175" s="163" t="str">
        <f ca="1"/>
        <v>Unique</v>
      </c>
      <c r="D175" s="179">
        <f t="shared" ca="1" si="61"/>
        <v>39</v>
      </c>
      <c r="E175" s="162">
        <f ca="1"/>
        <v>0</v>
      </c>
      <c r="F175" s="162">
        <f ca="1"/>
        <v>0</v>
      </c>
      <c r="G175" s="180">
        <f ca="1"/>
        <v>0</v>
      </c>
      <c r="H175" s="181" t="str">
        <f t="array" aca="1" ref="H175" ca="1">OFFSET(TypeLast,1-D175,0)</f>
        <v>Black Sapphire</v>
      </c>
      <c r="I175" s="187">
        <f t="shared" ca="1" si="62"/>
        <v>68</v>
      </c>
      <c r="J175" s="183" t="str">
        <f ca="1"/>
        <v>Small</v>
      </c>
      <c r="K175" s="188">
        <f t="shared" ca="1" si="63"/>
        <v>63</v>
      </c>
      <c r="L175" s="163" t="str">
        <f ca="1"/>
        <v>Standard Grade</v>
      </c>
      <c r="M175" s="163" t="str">
        <f t="shared" ca="1" si="64"/>
        <v>Black Sapphire (Small Standard Grade)</v>
      </c>
      <c r="N175" s="185">
        <f ca="1"/>
        <v>3400.0000000000005</v>
      </c>
      <c r="P175" s="161">
        <f t="shared" ca="1" si="65"/>
        <v>1</v>
      </c>
      <c r="Q175" s="74" t="str">
        <f t="shared" ca="1" si="66"/>
        <v>Ring</v>
      </c>
      <c r="R175" s="86">
        <f t="shared" ca="1" si="67"/>
        <v>11</v>
      </c>
      <c r="S175" s="165" t="str">
        <f t="shared" ca="1" si="68"/>
        <v>Mithril</v>
      </c>
      <c r="T175" s="86">
        <f t="shared" ca="1" si="69"/>
        <v>36</v>
      </c>
      <c r="U175" s="166" t="str">
        <f t="shared" ca="1" si="70"/>
        <v>Average</v>
      </c>
      <c r="V175" s="74" t="str">
        <f t="shared" ca="1" si="71"/>
        <v>Fair</v>
      </c>
      <c r="W175" s="86" t="str">
        <f t="shared" ca="1" si="72"/>
        <v>Fair Mithril Ring, set with 4 Peridot (Medium Superior Grade) and 6 Carnelian (Small Inferior Grade)</v>
      </c>
      <c r="X175" s="167">
        <f t="shared" ca="1" si="73"/>
        <v>1E-3</v>
      </c>
      <c r="Y175" s="155">
        <f t="shared" ca="1" si="74"/>
        <v>602.6</v>
      </c>
    </row>
    <row r="176" spans="1:25" ht="12.75">
      <c r="A176" s="189"/>
      <c r="B176" s="160">
        <f t="shared" ca="1" si="60"/>
        <v>77</v>
      </c>
      <c r="C176" s="163" t="str">
        <f ca="1"/>
        <v>Uncommon</v>
      </c>
      <c r="D176" s="179">
        <f t="shared" ca="1" si="61"/>
        <v>35</v>
      </c>
      <c r="E176" s="162">
        <f ca="1"/>
        <v>3</v>
      </c>
      <c r="F176" s="162">
        <f ca="1"/>
        <v>5</v>
      </c>
      <c r="G176" s="180">
        <f ca="1"/>
        <v>-20</v>
      </c>
      <c r="H176" s="181" t="str">
        <f t="array" aca="1" ref="H176" ca="1">OFFSET(TypeLast,1-D176,0)</f>
        <v>Sapphire</v>
      </c>
      <c r="I176" s="187">
        <f t="shared" ca="1" si="62"/>
        <v>79</v>
      </c>
      <c r="J176" s="183" t="str">
        <f ca="1"/>
        <v>Medium</v>
      </c>
      <c r="K176" s="188">
        <f t="shared" ca="1" si="63"/>
        <v>90</v>
      </c>
      <c r="L176" s="163" t="str">
        <f ca="1"/>
        <v>Superior Grade</v>
      </c>
      <c r="M176" s="163" t="str">
        <f t="shared" ca="1" si="64"/>
        <v>Sapphire (Medium Superior Grade)</v>
      </c>
      <c r="N176" s="185">
        <f ca="1"/>
        <v>118.5</v>
      </c>
      <c r="P176" s="24" t="s">
        <v>236</v>
      </c>
      <c r="Q176" s="88" t="s">
        <v>237</v>
      </c>
      <c r="R176" s="88" t="s">
        <v>238</v>
      </c>
      <c r="S176" s="24" t="s">
        <v>239</v>
      </c>
      <c r="T176" s="88" t="s">
        <v>240</v>
      </c>
      <c r="U176" s="24" t="s">
        <v>241</v>
      </c>
      <c r="V176" s="168" t="s">
        <v>242</v>
      </c>
    </row>
    <row r="177" spans="1:25" ht="12.75">
      <c r="A177" s="189"/>
      <c r="B177" s="160">
        <f t="shared" ca="1" si="60"/>
        <v>44</v>
      </c>
      <c r="C177" s="163" t="str">
        <f ca="1"/>
        <v>Common</v>
      </c>
      <c r="D177" s="179">
        <f t="shared" ca="1" si="61"/>
        <v>26</v>
      </c>
      <c r="E177" s="162">
        <f ca="1"/>
        <v>2</v>
      </c>
      <c r="F177" s="162">
        <f ca="1"/>
        <v>3</v>
      </c>
      <c r="G177" s="180">
        <f ca="1"/>
        <v>-10</v>
      </c>
      <c r="H177" s="181" t="str">
        <f t="array" aca="1" ref="H177" ca="1">OFFSET(TypeLast,1-D177,0)</f>
        <v>Peridot</v>
      </c>
      <c r="I177" s="187">
        <f t="shared" ca="1" si="62"/>
        <v>76</v>
      </c>
      <c r="J177" s="183" t="str">
        <f ca="1"/>
        <v>Medium</v>
      </c>
      <c r="K177" s="188">
        <f t="shared" ca="1" si="63"/>
        <v>81</v>
      </c>
      <c r="L177" s="163" t="str">
        <f ca="1"/>
        <v>Superior Grade</v>
      </c>
      <c r="M177" s="163" t="str">
        <f t="shared" ca="1" si="64"/>
        <v>Peridot (Medium Superior Grade)</v>
      </c>
      <c r="N177" s="185">
        <f ca="1"/>
        <v>11.399999999999999</v>
      </c>
      <c r="P177" s="82"/>
      <c r="Q177" s="77"/>
      <c r="R177" s="82">
        <f>ROW()</f>
        <v>177</v>
      </c>
      <c r="S177" s="82"/>
      <c r="T177" s="77"/>
      <c r="U177" s="82">
        <f ca="1">R177-COUNTIF(R178:R189,"&lt;&gt;")</f>
        <v>165</v>
      </c>
      <c r="V177" s="82"/>
    </row>
    <row r="178" spans="1:25" ht="12.75">
      <c r="A178" s="189"/>
      <c r="B178" s="160">
        <f t="shared" ca="1" si="60"/>
        <v>100</v>
      </c>
      <c r="C178" s="163" t="str">
        <f ca="1"/>
        <v>Unique</v>
      </c>
      <c r="D178" s="179">
        <f t="shared" ca="1" si="61"/>
        <v>42</v>
      </c>
      <c r="E178" s="162">
        <f ca="1"/>
        <v>0</v>
      </c>
      <c r="F178" s="162">
        <f ca="1"/>
        <v>0</v>
      </c>
      <c r="G178" s="180">
        <f ca="1"/>
        <v>0</v>
      </c>
      <c r="H178" s="181" t="str">
        <f t="array" aca="1" ref="H178" ca="1">OFFSET(TypeLast,1-D178,0)</f>
        <v>Star Ruby</v>
      </c>
      <c r="I178" s="187">
        <f t="shared" ca="1" si="62"/>
        <v>68</v>
      </c>
      <c r="J178" s="183" t="str">
        <f ca="1"/>
        <v>Small</v>
      </c>
      <c r="K178" s="188">
        <f t="shared" ca="1" si="63"/>
        <v>57</v>
      </c>
      <c r="L178" s="163" t="str">
        <f ca="1"/>
        <v>Standard Grade</v>
      </c>
      <c r="M178" s="163" t="str">
        <f t="shared" ca="1" si="64"/>
        <v>Star Ruby (Small Standard Grade)</v>
      </c>
      <c r="N178" s="185">
        <f ca="1"/>
        <v>3400.0000000000005</v>
      </c>
      <c r="P178" s="82">
        <f t="shared" ref="P178:P189" ca="1" si="75">IF(OFFSET(ItemTypeRef,MATCH(Q164,ItemTypeRange,0),4)=2,2,RANDBETWEEN(2,OFFSET(ItemTypeRef,MATCH(Q164,ItemTypeRange,0),4)))</f>
        <v>18</v>
      </c>
      <c r="Q178" s="27">
        <v>3</v>
      </c>
      <c r="R178" s="46" t="str">
        <f t="shared" ref="R178:R189" ca="1" si="76">OFFSET(EStoneRef,MATCH(LARGE(EStoneRange,(ROW()-$R$177)),EStoneRange,0),-1)</f>
        <v>Black Opal (Large Flawless)</v>
      </c>
      <c r="S178" s="138">
        <f t="shared" ref="S178:S189" ca="1" si="77">OFFSET(EStoneRef,MATCH(LARGE(EStoneRange,(ROW()-$R$177)),EStoneRange,0),0)</f>
        <v>14000.000000000002</v>
      </c>
      <c r="T178" s="27">
        <f t="shared" ref="T178:T189" ca="1" si="78">P178-Q178</f>
        <v>15</v>
      </c>
      <c r="U178" s="82" t="str">
        <f ca="1">IF($T178=0,"",OFFSET(MStoneRef,MATCH(LARGE(MStoneRange,(ROW()-$U$177-COUNTIF($T$148:$T178,"=0"))),MStoneRange,0),-1))</f>
        <v>Ruby (Medium Standard Grade)</v>
      </c>
      <c r="V178" s="138">
        <f ca="1">IF($T178=0,"",OFFSET(MStoneRef,MATCH(LARGE(MStoneRange,(ROW()-$U$177-COUNTIF($T$148:$T178,"=0"))),MStoneRange,0),0))</f>
        <v>91</v>
      </c>
    </row>
    <row r="179" spans="1:25" ht="12.75">
      <c r="A179" s="189"/>
      <c r="B179" s="160">
        <f t="shared" ca="1" si="60"/>
        <v>100</v>
      </c>
      <c r="C179" s="163" t="str">
        <f ca="1"/>
        <v>Unique</v>
      </c>
      <c r="D179" s="179">
        <f t="shared" ca="1" si="61"/>
        <v>41</v>
      </c>
      <c r="E179" s="162">
        <f ca="1"/>
        <v>0</v>
      </c>
      <c r="F179" s="162">
        <f ca="1"/>
        <v>0</v>
      </c>
      <c r="G179" s="180">
        <f ca="1"/>
        <v>0</v>
      </c>
      <c r="H179" s="181" t="str">
        <f t="array" aca="1" ref="H179" ca="1">OFFSET(TypeLast,1-D179,0)</f>
        <v>Black Opal</v>
      </c>
      <c r="I179" s="187">
        <f t="shared" ca="1" si="62"/>
        <v>140</v>
      </c>
      <c r="J179" s="183" t="str">
        <f ca="1"/>
        <v>Large</v>
      </c>
      <c r="K179" s="188">
        <f t="shared" ca="1" si="63"/>
        <v>100</v>
      </c>
      <c r="L179" s="163" t="str">
        <f ca="1"/>
        <v>Flawless</v>
      </c>
      <c r="M179" s="163" t="str">
        <f t="shared" ca="1" si="64"/>
        <v>Black Opal (Large Flawless)</v>
      </c>
      <c r="N179" s="185">
        <f ca="1"/>
        <v>14000.000000000002</v>
      </c>
      <c r="P179" s="83">
        <f t="shared" ca="1" si="75"/>
        <v>16</v>
      </c>
      <c r="Q179">
        <v>5</v>
      </c>
      <c r="R179" s="68" t="str">
        <f t="shared" ca="1" si="76"/>
        <v>Black Sapphire (Medium Superior Grade)</v>
      </c>
      <c r="S179" s="146">
        <f t="shared" ca="1" si="77"/>
        <v>9075</v>
      </c>
      <c r="T179">
        <f t="shared" ca="1" si="78"/>
        <v>11</v>
      </c>
      <c r="U179" s="83" t="str">
        <f ca="1">IF($T179=0,"",OFFSET(MStoneRef,MATCH(LARGE(MStoneRange,(ROW()-$U$177-COUNTIF($T$148:$T179,"=0"))),MStoneRange,0),-1))</f>
        <v>Onyx (Medium Standard Grade)</v>
      </c>
      <c r="V179" s="146">
        <f ca="1">IF($T179=0,"",OFFSET(MStoneRef,MATCH(LARGE(MStoneRange,(ROW()-$U$177-COUNTIF($T$148:$T179,"=0"))),MStoneRange,0),0))</f>
        <v>86</v>
      </c>
    </row>
    <row r="180" spans="1:25" ht="12.75">
      <c r="A180" s="189"/>
      <c r="B180" s="160">
        <f t="shared" ca="1" si="60"/>
        <v>65</v>
      </c>
      <c r="C180" s="163" t="str">
        <f ca="1"/>
        <v>Uncommon</v>
      </c>
      <c r="D180" s="179">
        <f t="shared" ca="1" si="61"/>
        <v>32</v>
      </c>
      <c r="E180" s="162">
        <f ca="1"/>
        <v>3</v>
      </c>
      <c r="F180" s="162">
        <f ca="1"/>
        <v>4</v>
      </c>
      <c r="G180" s="180">
        <f ca="1"/>
        <v>-10</v>
      </c>
      <c r="H180" s="181" t="str">
        <f t="array" aca="1" ref="H180" ca="1">OFFSET(TypeLast,1-D180,0)</f>
        <v>Topaz</v>
      </c>
      <c r="I180" s="187">
        <f t="shared" ca="1" si="62"/>
        <v>73</v>
      </c>
      <c r="J180" s="183" t="str">
        <f ca="1"/>
        <v>Small</v>
      </c>
      <c r="K180" s="188">
        <f t="shared" ca="1" si="63"/>
        <v>77</v>
      </c>
      <c r="L180" s="163" t="str">
        <f ca="1"/>
        <v>Superior Grade</v>
      </c>
      <c r="M180" s="163" t="str">
        <f t="shared" ca="1" si="64"/>
        <v>Topaz (Small Superior Grade)</v>
      </c>
      <c r="N180" s="185">
        <f ca="1"/>
        <v>109.5</v>
      </c>
      <c r="P180" s="83">
        <f t="shared" ca="1" si="75"/>
        <v>2</v>
      </c>
      <c r="Q180">
        <v>4</v>
      </c>
      <c r="R180" s="68" t="str">
        <f t="shared" ca="1" si="76"/>
        <v>Star Ruby (Medium Flawless)</v>
      </c>
      <c r="S180" s="146">
        <f t="shared" ca="1" si="77"/>
        <v>8600</v>
      </c>
      <c r="T180">
        <f t="shared" ca="1" si="78"/>
        <v>-2</v>
      </c>
      <c r="U180" s="83" t="str">
        <f ca="1">IF($T180=0,"",OFFSET(MStoneRef,MATCH(LARGE(MStoneRange,(ROW()-$U$177-COUNTIF($T$148:$T180,"=0"))),MStoneRange,0),-1))</f>
        <v>Pearl (Small Standard Grade)</v>
      </c>
      <c r="V180" s="146">
        <f ca="1">IF($T180=0,"",OFFSET(MStoneRef,MATCH(LARGE(MStoneRange,(ROW()-$U$177-COUNTIF($T$148:$T180,"=0"))),MStoneRange,0),0))</f>
        <v>69</v>
      </c>
    </row>
    <row r="181" spans="1:25" ht="12.75">
      <c r="A181" s="189"/>
      <c r="B181" s="160">
        <f t="shared" ca="1" si="60"/>
        <v>62</v>
      </c>
      <c r="C181" s="163" t="str">
        <f ca="1"/>
        <v>Uncommon</v>
      </c>
      <c r="D181" s="179">
        <f t="shared" ca="1" si="61"/>
        <v>36</v>
      </c>
      <c r="E181" s="162">
        <f ca="1"/>
        <v>3</v>
      </c>
      <c r="F181" s="162">
        <f ca="1"/>
        <v>5</v>
      </c>
      <c r="G181" s="180">
        <f ca="1"/>
        <v>-20</v>
      </c>
      <c r="H181" s="181" t="str">
        <f t="array" aca="1" ref="H181" ca="1">OFFSET(TypeLast,1-D181,0)</f>
        <v>Opal</v>
      </c>
      <c r="I181" s="187">
        <f t="shared" ca="1" si="62"/>
        <v>81</v>
      </c>
      <c r="J181" s="183" t="str">
        <f ca="1"/>
        <v>Medium</v>
      </c>
      <c r="K181" s="188">
        <f t="shared" ca="1" si="63"/>
        <v>95</v>
      </c>
      <c r="L181" s="163" t="str">
        <f ca="1"/>
        <v>Superior Grade</v>
      </c>
      <c r="M181" s="163" t="str">
        <f t="shared" ca="1" si="64"/>
        <v>Opal (Medium Superior Grade)</v>
      </c>
      <c r="N181" s="185">
        <f ca="1"/>
        <v>121.5</v>
      </c>
      <c r="P181" s="83">
        <f t="shared" ca="1" si="75"/>
        <v>9</v>
      </c>
      <c r="Q181">
        <v>6</v>
      </c>
      <c r="R181" s="68" t="str">
        <f t="shared" ca="1" si="76"/>
        <v>Black Opal (Huge Inferior Grade)</v>
      </c>
      <c r="S181" s="146">
        <f t="shared" ca="1" si="77"/>
        <v>6825</v>
      </c>
      <c r="T181">
        <f t="shared" ca="1" si="78"/>
        <v>3</v>
      </c>
      <c r="U181" s="83" t="str">
        <f ca="1">IF($T181=0,"",OFFSET(MStoneRef,MATCH(LARGE(MStoneRange,(ROW()-$U$177-COUNTIF($T$148:$T181,"=0"))),MStoneRange,0),-1))</f>
        <v>Onyx (Medium Inferior Grade)</v>
      </c>
      <c r="V181" s="146">
        <f ca="1">IF($T181=0,"",OFFSET(MStoneRef,MATCH(LARGE(MStoneRange,(ROW()-$U$177-COUNTIF($T$148:$T181,"=0"))),MStoneRange,0),0))</f>
        <v>56.25</v>
      </c>
    </row>
    <row r="182" spans="1:25" ht="12.75">
      <c r="A182" s="189"/>
      <c r="B182" s="160">
        <f t="shared" ca="1" si="60"/>
        <v>100</v>
      </c>
      <c r="C182" s="163" t="str">
        <f ca="1"/>
        <v>Unique</v>
      </c>
      <c r="D182" s="179">
        <f t="shared" ca="1" si="61"/>
        <v>42</v>
      </c>
      <c r="E182" s="162">
        <f ca="1"/>
        <v>0</v>
      </c>
      <c r="F182" s="162">
        <f ca="1"/>
        <v>0</v>
      </c>
      <c r="G182" s="180">
        <f ca="1"/>
        <v>0</v>
      </c>
      <c r="H182" s="181" t="str">
        <f t="array" aca="1" ref="H182" ca="1">OFFSET(TypeLast,1-D182,0)</f>
        <v>Star Ruby</v>
      </c>
      <c r="I182" s="187">
        <f t="shared" ca="1" si="62"/>
        <v>86</v>
      </c>
      <c r="J182" s="183" t="str">
        <f ca="1"/>
        <v>Medium</v>
      </c>
      <c r="K182" s="188">
        <f t="shared" ca="1" si="63"/>
        <v>100</v>
      </c>
      <c r="L182" s="163" t="str">
        <f ca="1"/>
        <v>Flawless</v>
      </c>
      <c r="M182" s="163" t="str">
        <f t="shared" ca="1" si="64"/>
        <v>Star Ruby (Medium Flawless)</v>
      </c>
      <c r="N182" s="185">
        <f ca="1"/>
        <v>8600</v>
      </c>
      <c r="P182" s="83">
        <f t="shared" ca="1" si="75"/>
        <v>14</v>
      </c>
      <c r="Q182">
        <v>1</v>
      </c>
      <c r="R182" s="68" t="str">
        <f t="shared" ca="1" si="76"/>
        <v>Black Sapphire (Small Standard Grade)</v>
      </c>
      <c r="S182" s="146">
        <f t="shared" ca="1" si="77"/>
        <v>3400.0000000000005</v>
      </c>
      <c r="T182">
        <f t="shared" ca="1" si="78"/>
        <v>13</v>
      </c>
      <c r="U182" s="83" t="str">
        <f ca="1">IF($T182=0,"",OFFSET(MStoneRef,MATCH(LARGE(MStoneRange,(ROW()-$U$177-COUNTIF($T$148:$T182,"=0"))),MStoneRange,0),-1))</f>
        <v>Coral (Small Inferior Grade)</v>
      </c>
      <c r="V182" s="146">
        <f ca="1">IF($T182=0,"",OFFSET(MStoneRef,MATCH(LARGE(MStoneRange,(ROW()-$U$177-COUNTIF($T$148:$T182,"=0"))),MStoneRange,0),0))</f>
        <v>46.5</v>
      </c>
    </row>
    <row r="183" spans="1:25" ht="12.75">
      <c r="A183" s="189"/>
      <c r="B183" s="160">
        <f t="shared" ca="1" si="60"/>
        <v>95</v>
      </c>
      <c r="C183" s="163" t="str">
        <f ca="1"/>
        <v>Rare</v>
      </c>
      <c r="D183" s="179">
        <f t="shared" ca="1" si="61"/>
        <v>36</v>
      </c>
      <c r="E183" s="162">
        <f ca="1"/>
        <v>4</v>
      </c>
      <c r="F183" s="162">
        <f ca="1"/>
        <v>5</v>
      </c>
      <c r="G183" s="180">
        <f ca="1"/>
        <v>-10</v>
      </c>
      <c r="H183" s="181" t="str">
        <f t="array" aca="1" ref="H183" ca="1">OFFSET(TypeLast,1-D183,0)</f>
        <v>Opal</v>
      </c>
      <c r="I183" s="187">
        <f t="shared" ca="1" si="62"/>
        <v>126</v>
      </c>
      <c r="J183" s="183" t="str">
        <f ca="1"/>
        <v>Large</v>
      </c>
      <c r="K183" s="188">
        <f t="shared" ca="1" si="63"/>
        <v>59</v>
      </c>
      <c r="L183" s="163" t="str">
        <f ca="1"/>
        <v>Standard Grade</v>
      </c>
      <c r="M183" s="163" t="str">
        <f t="shared" ca="1" si="64"/>
        <v>Opal (Large Standard Grade)</v>
      </c>
      <c r="N183" s="185">
        <f ca="1"/>
        <v>630</v>
      </c>
      <c r="P183" s="83">
        <f t="shared" ca="1" si="75"/>
        <v>9</v>
      </c>
      <c r="Q183">
        <v>3</v>
      </c>
      <c r="R183" s="68" t="str">
        <f t="shared" ca="1" si="76"/>
        <v>Black Sapphire (Small Standard Grade)</v>
      </c>
      <c r="S183" s="146">
        <f t="shared" ca="1" si="77"/>
        <v>3400.0000000000005</v>
      </c>
      <c r="T183">
        <f t="shared" ca="1" si="78"/>
        <v>6</v>
      </c>
      <c r="U183" s="83" t="str">
        <f ca="1">IF($T183=0,"",OFFSET(MStoneRef,MATCH(LARGE(MStoneRange,(ROW()-$U$177-COUNTIF($T$148:$T183,"=0"))),MStoneRange,0),-1))</f>
        <v>Sapphire (Tiny Standard Grade)</v>
      </c>
      <c r="V183" s="146">
        <f ca="1">IF($T183=0,"",OFFSET(MStoneRef,MATCH(LARGE(MStoneRange,(ROW()-$U$177-COUNTIF($T$148:$T183,"=0"))),MStoneRange,0),0))</f>
        <v>43</v>
      </c>
    </row>
    <row r="184" spans="1:25" ht="12.75">
      <c r="A184" s="189"/>
      <c r="B184" s="160">
        <f t="shared" ca="1" si="60"/>
        <v>100</v>
      </c>
      <c r="C184" s="163" t="str">
        <f ca="1"/>
        <v>Unique</v>
      </c>
      <c r="D184" s="179">
        <f t="shared" ca="1" si="61"/>
        <v>44</v>
      </c>
      <c r="E184" s="162">
        <f ca="1"/>
        <v>0</v>
      </c>
      <c r="F184" s="162">
        <f ca="1"/>
        <v>0</v>
      </c>
      <c r="G184" s="180">
        <f ca="1"/>
        <v>0</v>
      </c>
      <c r="H184" s="181" t="str">
        <f t="array" aca="1" ref="H184" ca="1">OFFSET(TypeLast,1-D184,0)</f>
        <v>Star Sapphire</v>
      </c>
      <c r="I184" s="187">
        <f t="shared" ca="1" si="62"/>
        <v>39</v>
      </c>
      <c r="J184" s="183" t="str">
        <f ca="1"/>
        <v>Tiny</v>
      </c>
      <c r="K184" s="188">
        <f t="shared" ca="1" si="63"/>
        <v>63</v>
      </c>
      <c r="L184" s="163" t="str">
        <f ca="1"/>
        <v>Standard Grade</v>
      </c>
      <c r="M184" s="163" t="str">
        <f t="shared" ca="1" si="64"/>
        <v>Star Sapphire (Tiny Standard Grade)</v>
      </c>
      <c r="N184" s="185">
        <f ca="1"/>
        <v>1950</v>
      </c>
      <c r="P184" s="83">
        <f t="shared" ca="1" si="75"/>
        <v>4</v>
      </c>
      <c r="Q184">
        <v>1</v>
      </c>
      <c r="R184" s="68" t="str">
        <f t="shared" ca="1" si="76"/>
        <v>Black Opal (Medium Inferior Grade)</v>
      </c>
      <c r="S184" s="146">
        <f t="shared" ca="1" si="77"/>
        <v>3187.5</v>
      </c>
      <c r="T184">
        <f t="shared" ca="1" si="78"/>
        <v>3</v>
      </c>
      <c r="U184" s="83" t="str">
        <f ca="1">IF($T184=0,"",OFFSET(MStoneRef,MATCH(LARGE(MStoneRange,(ROW()-$U$177-COUNTIF($T$148:$T184,"=0"))),MStoneRange,0),-1))</f>
        <v>Coral (Tiny Standard Grade)</v>
      </c>
      <c r="V184" s="146">
        <f ca="1">IF($T184=0,"",OFFSET(MStoneRef,MATCH(LARGE(MStoneRange,(ROW()-$U$177-COUNTIF($T$148:$T184,"=0"))),MStoneRange,0),0))</f>
        <v>25</v>
      </c>
    </row>
    <row r="185" spans="1:25" ht="12.75">
      <c r="A185" s="189"/>
      <c r="B185" s="160">
        <f t="shared" ca="1" si="60"/>
        <v>59</v>
      </c>
      <c r="C185" s="163" t="str">
        <f ca="1"/>
        <v>Common</v>
      </c>
      <c r="D185" s="179">
        <f t="shared" ca="1" si="61"/>
        <v>16</v>
      </c>
      <c r="E185" s="162">
        <f ca="1"/>
        <v>2</v>
      </c>
      <c r="F185" s="162">
        <f ca="1"/>
        <v>2</v>
      </c>
      <c r="G185" s="180">
        <f ca="1"/>
        <v>0</v>
      </c>
      <c r="H185" s="181" t="str">
        <f t="array" aca="1" ref="H185" ca="1">OFFSET(TypeLast,1-D185,0)</f>
        <v>Azurite</v>
      </c>
      <c r="I185" s="187">
        <f t="shared" ca="1" si="62"/>
        <v>118</v>
      </c>
      <c r="J185" s="183" t="str">
        <f ca="1"/>
        <v>Medium</v>
      </c>
      <c r="K185" s="188">
        <f t="shared" ca="1" si="63"/>
        <v>32</v>
      </c>
      <c r="L185" s="163" t="str">
        <f ca="1"/>
        <v>Standard Grade</v>
      </c>
      <c r="M185" s="163" t="str">
        <f t="shared" ca="1" si="64"/>
        <v>Azurite (Medium Standard Grade)</v>
      </c>
      <c r="N185" s="185">
        <f ca="1"/>
        <v>11.799999999999999</v>
      </c>
      <c r="P185" s="83">
        <f t="shared" ca="1" si="75"/>
        <v>7</v>
      </c>
      <c r="Q185">
        <v>1</v>
      </c>
      <c r="R185" s="68" t="str">
        <f t="shared" ca="1" si="76"/>
        <v>Sapphire (Large Flawless)</v>
      </c>
      <c r="S185" s="146">
        <f t="shared" ca="1" si="77"/>
        <v>2840</v>
      </c>
      <c r="T185">
        <f t="shared" ca="1" si="78"/>
        <v>6</v>
      </c>
      <c r="U185" s="83" t="str">
        <f ca="1">IF($T185=0,"",OFFSET(MStoneRef,MATCH(LARGE(MStoneRange,(ROW()-$U$177-COUNTIF($T$148:$T185,"=0"))),MStoneRange,0),-1))</f>
        <v>Turquoise (Large Standard Grade)</v>
      </c>
      <c r="V185" s="146">
        <f ca="1">IF($T185=0,"",OFFSET(MStoneRef,MATCH(LARGE(MStoneRange,(ROW()-$U$177-COUNTIF($T$148:$T185,"=0"))),MStoneRange,0),0))</f>
        <v>13.8</v>
      </c>
    </row>
    <row r="186" spans="1:25" ht="12.75">
      <c r="A186" s="189"/>
      <c r="B186" s="160">
        <f t="shared" ca="1" si="60"/>
        <v>100</v>
      </c>
      <c r="C186" s="163" t="str">
        <f ca="1"/>
        <v>Unique</v>
      </c>
      <c r="D186" s="179">
        <f t="shared" ca="1" si="61"/>
        <v>41</v>
      </c>
      <c r="E186" s="162">
        <f ca="1"/>
        <v>0</v>
      </c>
      <c r="F186" s="162">
        <f ca="1"/>
        <v>0</v>
      </c>
      <c r="G186" s="180">
        <f ca="1"/>
        <v>0</v>
      </c>
      <c r="H186" s="181" t="str">
        <f t="array" aca="1" ref="H186" ca="1">OFFSET(TypeLast,1-D186,0)</f>
        <v>Black Opal</v>
      </c>
      <c r="I186" s="187">
        <f t="shared" ca="1" si="62"/>
        <v>85</v>
      </c>
      <c r="J186" s="183" t="str">
        <f ca="1"/>
        <v>Medium</v>
      </c>
      <c r="K186" s="188">
        <f t="shared" ca="1" si="63"/>
        <v>24</v>
      </c>
      <c r="L186" s="163" t="str">
        <f ca="1"/>
        <v>Inferior Grade</v>
      </c>
      <c r="M186" s="163" t="str">
        <f t="shared" ca="1" si="64"/>
        <v>Black Opal (Medium Inferior Grade)</v>
      </c>
      <c r="N186" s="185">
        <f ca="1"/>
        <v>3187.5</v>
      </c>
      <c r="P186" s="83">
        <f t="shared" ca="1" si="75"/>
        <v>2</v>
      </c>
      <c r="Q186">
        <v>11</v>
      </c>
      <c r="R186" s="68" t="str">
        <f t="shared" ca="1" si="76"/>
        <v>Star Sapphire (Tiny Standard Grade)</v>
      </c>
      <c r="S186" s="146">
        <f t="shared" ca="1" si="77"/>
        <v>1950</v>
      </c>
      <c r="T186">
        <f t="shared" ca="1" si="78"/>
        <v>-9</v>
      </c>
      <c r="U186" s="83" t="str">
        <f ca="1">IF($T186=0,"",OFFSET(MStoneRef,MATCH(LARGE(MStoneRange,(ROW()-$U$177-COUNTIF($T$148:$T186,"=0"))),MStoneRange,0),-1))</f>
        <v>Amethyst (Medium Standard Grade)</v>
      </c>
      <c r="V186" s="146">
        <f ca="1">IF($T186=0,"",OFFSET(MStoneRef,MATCH(LARGE(MStoneRange,(ROW()-$U$177-COUNTIF($T$148:$T186,"=0"))),MStoneRange,0),0))</f>
        <v>8.6</v>
      </c>
    </row>
    <row r="187" spans="1:25" ht="12.75">
      <c r="A187" s="189"/>
      <c r="B187" s="160">
        <f t="shared" ca="1" si="60"/>
        <v>56</v>
      </c>
      <c r="C187" s="163" t="str">
        <f ca="1"/>
        <v>Common</v>
      </c>
      <c r="D187" s="179">
        <f t="shared" ca="1" si="61"/>
        <v>35</v>
      </c>
      <c r="E187" s="162">
        <f ca="1"/>
        <v>2</v>
      </c>
      <c r="F187" s="162">
        <f ca="1"/>
        <v>5</v>
      </c>
      <c r="G187" s="180">
        <f ca="1"/>
        <v>-30</v>
      </c>
      <c r="H187" s="181" t="str">
        <f t="array" aca="1" ref="H187" ca="1">OFFSET(TypeLast,1-D187,0)</f>
        <v>Sapphire</v>
      </c>
      <c r="I187" s="187">
        <f t="shared" ca="1" si="62"/>
        <v>10</v>
      </c>
      <c r="J187" s="183" t="str">
        <f ca="1"/>
        <v>Tiny</v>
      </c>
      <c r="K187" s="188">
        <f t="shared" ca="1" si="63"/>
        <v>82</v>
      </c>
      <c r="L187" s="163" t="str">
        <f ca="1"/>
        <v>Superior Grade</v>
      </c>
      <c r="M187" s="163" t="str">
        <f t="shared" ca="1" si="64"/>
        <v>Sapphire (Tiny Superior Grade)</v>
      </c>
      <c r="N187" s="185">
        <f ca="1"/>
        <v>1.5</v>
      </c>
      <c r="P187" s="83">
        <f t="shared" ca="1" si="75"/>
        <v>4</v>
      </c>
      <c r="Q187">
        <v>1</v>
      </c>
      <c r="R187" s="68" t="str">
        <f t="shared" ca="1" si="76"/>
        <v>Opal (Large Standard Grade)</v>
      </c>
      <c r="S187" s="146">
        <f t="shared" ca="1" si="77"/>
        <v>630</v>
      </c>
      <c r="T187">
        <f t="shared" ca="1" si="78"/>
        <v>3</v>
      </c>
      <c r="U187" s="83" t="str">
        <f ca="1">IF($T187=0,"",OFFSET(MStoneRef,MATCH(LARGE(MStoneRange,(ROW()-$U$177-COUNTIF($T$148:$T187,"=0"))),MStoneRange,0),-1))</f>
        <v>Jet (Medium Standard Grade)</v>
      </c>
      <c r="V187" s="146">
        <f ca="1">IF($T187=0,"",OFFSET(MStoneRef,MATCH(LARGE(MStoneRange,(ROW()-$U$177-COUNTIF($T$148:$T187,"=0"))),MStoneRange,0),0))</f>
        <v>8.3000000000000007</v>
      </c>
    </row>
    <row r="188" spans="1:25" ht="12.75">
      <c r="A188" s="190"/>
      <c r="B188" s="169">
        <f t="shared" ca="1" si="60"/>
        <v>75</v>
      </c>
      <c r="C188" s="166" t="str">
        <f ca="1"/>
        <v>Uncommon</v>
      </c>
      <c r="D188" s="191">
        <f t="shared" ca="1" si="61"/>
        <v>28</v>
      </c>
      <c r="E188" s="164">
        <f ca="1"/>
        <v>3</v>
      </c>
      <c r="F188" s="164">
        <f ca="1"/>
        <v>4</v>
      </c>
      <c r="G188" s="192">
        <f ca="1"/>
        <v>-10</v>
      </c>
      <c r="H188" s="193" t="str">
        <f t="array" aca="1" ref="H188" ca="1">OFFSET(TypeLast,1-D188,0)</f>
        <v>Pearl</v>
      </c>
      <c r="I188" s="194">
        <f t="shared" ca="1" si="62"/>
        <v>94</v>
      </c>
      <c r="J188" s="195" t="str">
        <f ca="1"/>
        <v>Medium</v>
      </c>
      <c r="K188" s="196">
        <f t="shared" ca="1" si="63"/>
        <v>67</v>
      </c>
      <c r="L188" s="166" t="str">
        <f ca="1"/>
        <v>Standard Grade</v>
      </c>
      <c r="M188" s="166" t="str">
        <f t="shared" ca="1" si="64"/>
        <v>Pearl (Medium Standard Grade)</v>
      </c>
      <c r="N188" s="197">
        <f ca="1"/>
        <v>94</v>
      </c>
      <c r="P188" s="83">
        <f t="shared" ca="1" si="75"/>
        <v>6</v>
      </c>
      <c r="Q188">
        <v>1</v>
      </c>
      <c r="R188" s="68" t="str">
        <f t="shared" ca="1" si="76"/>
        <v>Garnet (Huge Standard Grade)</v>
      </c>
      <c r="S188" s="146">
        <f t="shared" ca="1" si="77"/>
        <v>193</v>
      </c>
      <c r="T188">
        <f t="shared" ca="1" si="78"/>
        <v>5</v>
      </c>
      <c r="U188" s="83" t="str">
        <f ca="1">IF($T188=0,"",OFFSET(MStoneRef,MATCH(LARGE(MStoneRange,(ROW()-$U$177-COUNTIF($T$148:$T188,"=0"))),MStoneRange,0),-1))</f>
        <v>Opal (Medium Standard Grade)</v>
      </c>
      <c r="V188" s="146">
        <f ca="1">IF($T188=0,"",OFFSET(MStoneRef,MATCH(LARGE(MStoneRange,(ROW()-$U$177-COUNTIF($T$148:$T188,"=0"))),MStoneRange,0),0))</f>
        <v>7.5</v>
      </c>
    </row>
    <row r="189" spans="1:25" ht="12.75">
      <c r="P189" s="86">
        <f t="shared" ca="1" si="75"/>
        <v>10</v>
      </c>
      <c r="Q189" s="38">
        <v>4</v>
      </c>
      <c r="R189" s="74" t="str">
        <f t="shared" ca="1" si="76"/>
        <v>Peridot (Medium Superior Grade)</v>
      </c>
      <c r="S189" s="155">
        <f t="shared" ca="1" si="77"/>
        <v>141</v>
      </c>
      <c r="T189" s="38">
        <f t="shared" ca="1" si="78"/>
        <v>6</v>
      </c>
      <c r="U189" s="86" t="str">
        <f ca="1">IF($T189=0,"",OFFSET(MStoneRef,MATCH(LARGE(MStoneRange,(ROW()-$U$177-COUNTIF($T$148:$T189,"=0"))),MStoneRange,0),-1))</f>
        <v>Carnelian (Small Inferior Grade)</v>
      </c>
      <c r="V189" s="155">
        <f ca="1">IF($T189=0,"",OFFSET(MStoneRef,MATCH(LARGE(MStoneRange,(ROW()-$U$177-COUNTIF($T$148:$T189,"=0"))),MStoneRange,0),0))</f>
        <v>5.3999999999999995</v>
      </c>
    </row>
    <row r="191" spans="1:25" ht="12.75">
      <c r="A191" s="170" t="s">
        <v>245</v>
      </c>
      <c r="B191" s="172"/>
      <c r="C191" s="172"/>
      <c r="D191" s="172"/>
      <c r="E191" s="172"/>
      <c r="F191" s="172"/>
      <c r="G191" s="172"/>
      <c r="H191" s="172"/>
      <c r="I191" s="172"/>
      <c r="J191" s="172"/>
      <c r="K191" s="172"/>
      <c r="L191" s="172"/>
      <c r="M191" s="172"/>
      <c r="N191" s="173"/>
      <c r="P191" s="228" t="s">
        <v>235</v>
      </c>
      <c r="Q191" s="214"/>
      <c r="R191" s="214"/>
      <c r="S191" s="214"/>
      <c r="T191" s="214"/>
      <c r="U191" s="214"/>
      <c r="V191" s="214"/>
      <c r="W191" s="214"/>
      <c r="X191" s="214"/>
      <c r="Y191" s="215"/>
    </row>
    <row r="192" spans="1:25" ht="12.75">
      <c r="A192" s="174"/>
      <c r="B192" s="166" t="s">
        <v>220</v>
      </c>
      <c r="C192" s="166" t="s">
        <v>81</v>
      </c>
      <c r="D192" s="166" t="s">
        <v>221</v>
      </c>
      <c r="E192" s="166" t="s">
        <v>222</v>
      </c>
      <c r="F192" s="166" t="s">
        <v>223</v>
      </c>
      <c r="G192" s="166" t="s">
        <v>224</v>
      </c>
      <c r="H192" s="166" t="s">
        <v>84</v>
      </c>
      <c r="I192" s="166" t="s">
        <v>225</v>
      </c>
      <c r="J192" s="166" t="s">
        <v>226</v>
      </c>
      <c r="K192" s="166" t="s">
        <v>227</v>
      </c>
      <c r="L192" s="166" t="s">
        <v>215</v>
      </c>
      <c r="M192" s="166" t="s">
        <v>32</v>
      </c>
      <c r="N192" s="166" t="s">
        <v>33</v>
      </c>
      <c r="P192" s="24" t="s">
        <v>55</v>
      </c>
      <c r="Q192" s="24" t="s">
        <v>84</v>
      </c>
      <c r="R192" s="24" t="s">
        <v>56</v>
      </c>
      <c r="S192" s="24" t="s">
        <v>73</v>
      </c>
      <c r="T192" s="24" t="s">
        <v>57</v>
      </c>
      <c r="U192" s="24" t="s">
        <v>215</v>
      </c>
      <c r="V192" s="43" t="s">
        <v>228</v>
      </c>
      <c r="W192" s="24" t="s">
        <v>32</v>
      </c>
      <c r="X192" s="24" t="s">
        <v>58</v>
      </c>
      <c r="Y192" s="24" t="s">
        <v>33</v>
      </c>
    </row>
    <row r="193" spans="1:25" ht="12.75">
      <c r="A193" s="198" t="s">
        <v>229</v>
      </c>
      <c r="B193" s="177">
        <f ca="1">WealthMod*100+A195</f>
        <v>-5</v>
      </c>
      <c r="C193" s="166"/>
      <c r="D193" s="166"/>
      <c r="E193" s="166"/>
      <c r="F193" s="166"/>
      <c r="G193" s="166"/>
      <c r="H193" s="166"/>
      <c r="I193" s="177">
        <f ca="1">WealthMod*100+A195</f>
        <v>-5</v>
      </c>
      <c r="J193" s="166"/>
      <c r="K193" s="177">
        <f ca="1">WealthMod*100+A195</f>
        <v>-5</v>
      </c>
      <c r="L193" s="166"/>
      <c r="M193" s="166"/>
      <c r="N193" s="166"/>
      <c r="P193" s="24" t="s">
        <v>230</v>
      </c>
      <c r="Q193" s="82"/>
      <c r="R193" s="82">
        <f ca="1">ROUND((WealthMod+A195*0.01)*MaterialCount,0)</f>
        <v>-1</v>
      </c>
      <c r="S193" s="77"/>
      <c r="T193" s="82">
        <f ca="1">WealthMod*100+A195</f>
        <v>-5</v>
      </c>
      <c r="U193" s="77"/>
      <c r="V193" s="104"/>
      <c r="W193" s="82"/>
      <c r="X193" s="77"/>
      <c r="Y193" s="82"/>
    </row>
    <row r="194" spans="1:25" ht="12.75">
      <c r="A194" s="190" t="s">
        <v>231</v>
      </c>
      <c r="B194" s="156">
        <f t="shared" ref="B194:B218" ca="1" si="79">MAX(MIN(ROUND(RANDBETWEEN(1,100)+$B$193,0),100),1)</f>
        <v>1</v>
      </c>
      <c r="C194" s="157" t="str">
        <f t="array" aca="1" ref="C194:C218" ca="1">VLOOKUP(B194:B218,ProbR,2)</f>
        <v>Very Common</v>
      </c>
      <c r="D194" s="199">
        <f t="shared" ref="D194:D218" ca="1" si="80">RANDBETWEEN(OFFSET(TypeRef,MATCH(C194,TypeRange,0)+1,1),OFFSET(TypeRef,MATCH(C194,TypeRange,0),1))</f>
        <v>9</v>
      </c>
      <c r="E194" s="162">
        <f t="array" aca="1" ref="E194:E218" ca="1">VLOOKUP(C194:C218,StoneV,3,FALSE)</f>
        <v>1</v>
      </c>
      <c r="F194" s="162">
        <f t="array" aca="1" ref="F194:F218" ca="1">IF(D194:D218&lt;D$26,C$25,IF(D194:D218&lt;D$27,C$26,IF(D194:D218&lt;D$28,C$27,IF(D194:D218&lt;D$29,C$28,IF(D194:D218&lt;D$30,C$29,C$30)))))</f>
        <v>1</v>
      </c>
      <c r="G194" s="162">
        <f t="array" aca="1" ref="G194:G218" ca="1">(E194:E218-F194:F218)*10</f>
        <v>0</v>
      </c>
      <c r="H194" s="96" t="str">
        <f t="array" aca="1" ref="H194" ca="1">OFFSET(TypeLast,1-D194,0)</f>
        <v>Rock Crystal</v>
      </c>
      <c r="I194" s="156">
        <f t="shared" ref="I194:I218" ca="1" si="81">MAX(MIN(IF(RANDBETWEEN(0,1)=0,RANDBETWEEN(1,75)+RANDBETWEEN(1,75),(RANDBETWEEN(1,100)+RANDBETWEEN(0,100)))+$I$193+G194,200),1)</f>
        <v>113</v>
      </c>
      <c r="J194" s="183" t="str">
        <f t="array" aca="1" ref="J194:J218" ca="1">IF(I194:I218&lt;50,"Tiny",IF(I194:I218&lt;75,"Small",IF(I194:I218&lt;125,"Medium",IF(I194:I218&lt;150,"Large","Huge"))))</f>
        <v>Medium</v>
      </c>
      <c r="K194" s="184">
        <f t="shared" ref="K194:K218" ca="1" si="82">MAX(MIN(RANDBETWEEN(1,100)+K$193+G194,100),1)</f>
        <v>24</v>
      </c>
      <c r="L194" s="163" t="str">
        <f t="array" aca="1" ref="L194:L218" ca="1">VLOOKUP(K194:K218,StoneQ,2,TRUE)</f>
        <v>Inferior Grade</v>
      </c>
      <c r="M194" s="163" t="str">
        <f t="shared" ref="M194:M218" ca="1" si="83">CONCATENATE(H194," (",J194," ",L194,")")</f>
        <v>Rock Crystal (Medium Inferior Grade)</v>
      </c>
      <c r="N194" s="185">
        <f t="array" aca="1" ref="N194:N218" ca="1">VLOOKUP(C194:C218,StoneV,2,FALSE)*(I194:I218*0.01)*VLOOKUP(K194:K218,StoneQ,3,TRUE)</f>
        <v>0.84750000000000014</v>
      </c>
      <c r="P194" s="159">
        <f t="shared" ref="P194:P205" ca="1" si="84">IF(RANDBETWEEN(1,2)=1,RANDBETWEEN(1,ItemCommonCount),IF(RANDBETWEEN(1,2)=1,(RANDBETWEEN(1,ItemUncommonCount)+ItemCommonCount),IF(RANDBETWEEN(1,2)=1,(RANDBETWEEN(1,ItemRareCount)+ItemCommonCount+ItemUncommonCount),(RANDBETWEEN(1,ItemUniqueCount)+ItemCommonCount+ItemUncommonCount+ItemRareCount))))</f>
        <v>8</v>
      </c>
      <c r="Q194" s="46" t="str">
        <f t="shared" ref="Q194:Q205" ca="1" si="85">OFFSET(ItemTypeRef,P194,0)</f>
        <v>Serving Spoon</v>
      </c>
      <c r="R194" s="82">
        <f t="shared" ref="R194:R205" ca="1" si="86">RANDBETWEEN(1,MaterialCount)+$R$193</f>
        <v>6</v>
      </c>
      <c r="S194" s="27" t="str">
        <f t="shared" ref="S194:S205" ca="1" si="87">IF(R194&lt;1,OFFSET(MaterialRef,1,0),IF(R194&lt;=MaterialCount,OFFSET(MaterialRef,R194,0),OFFSET(MaterialRef,MaterialCount,0)))</f>
        <v>Silver</v>
      </c>
      <c r="T194" s="82">
        <f t="shared" ref="T194:T205" ca="1" si="88">RANDBETWEEN(1,100)+$T$193</f>
        <v>53</v>
      </c>
      <c r="U194" s="28" t="str">
        <f t="shared" ref="U194:U205" ca="1" si="89">IF(T194&lt;OFFSET(ProbQ,1,3),OFFSET(ProbQ,1,0),(IF(T194&lt;OFFSET(ProbQ,2,3),OFFSET(ProbQ,2,0),IF(T194&lt;OFFSET(ProbQ,3,3),OFFSET(ProbQ,3,0),OFFSET(ProbQ,4,0)))))</f>
        <v>Average</v>
      </c>
      <c r="V194" s="46" t="str">
        <f t="shared" ref="V194:V205" ca="1" si="90">OFFSET(CraftRef,RANDBETWEEN(1,CraftNum),MATCH($U194,CraftRange,0)-1)</f>
        <v>Unexceptional</v>
      </c>
      <c r="W194" s="82" t="str">
        <f t="shared" ref="W194:W205" ca="1" si="91">CONCATENATE(V194," ",S194," ",Q194,IF(Q208&gt;0,CONCATENATE(", set with ",Q208," ",R208,IF(T208=0,"",CONCATENATE(" and ",T208," ",U208))),CONCATENATE(" with ",T208," ",U208)),IF(Q194="Earrings",", Pair",""))</f>
        <v>Unexceptional Silver Serving Spoon with 2 Empty Settings</v>
      </c>
      <c r="X194" s="27">
        <f t="shared" ref="X194:X205" ca="1" si="92">OFFSET(ItemTypeRef,MATCH(Q194,ItemTypeRange,0),1)</f>
        <v>0.5</v>
      </c>
      <c r="Y194" s="138">
        <f t="shared" ref="Y194:Y205" ca="1" si="93">(X194*OFFSET(MaterialRef,MATCH($S194,MaterialRange,0),2)*OFFSET(MaterialRef,MATCH($S194,MaterialRange,0),1))+(OFFSET(MaterialRef,MATCH($S194,MaterialRange,0),3)*OFFSET(QRef,MATCH(U194,QRange,0),1)*OFFSET($P$15,$P194,2)/2)+(((Q208*S208)+(T208*V208))*IF(Q194="Earrings",2,1))</f>
        <v>813.75000000000011</v>
      </c>
    </row>
    <row r="195" spans="1:25" ht="12.75">
      <c r="A195" s="186">
        <v>-5</v>
      </c>
      <c r="B195" s="160">
        <f t="shared" ca="1" si="79"/>
        <v>84</v>
      </c>
      <c r="C195" s="163" t="str">
        <f ca="1"/>
        <v>Uncommon</v>
      </c>
      <c r="D195" s="199">
        <f t="shared" ca="1" si="80"/>
        <v>32</v>
      </c>
      <c r="E195" s="162">
        <f ca="1"/>
        <v>3</v>
      </c>
      <c r="F195" s="162">
        <f ca="1"/>
        <v>4</v>
      </c>
      <c r="G195" s="162">
        <f ca="1"/>
        <v>-10</v>
      </c>
      <c r="H195" s="96" t="str">
        <f t="array" aca="1" ref="H195" ca="1">OFFSET(TypeLast,1-D195,0)</f>
        <v>Topaz</v>
      </c>
      <c r="I195" s="160">
        <f t="shared" ca="1" si="81"/>
        <v>54</v>
      </c>
      <c r="J195" s="183" t="str">
        <f ca="1"/>
        <v>Small</v>
      </c>
      <c r="K195" s="188">
        <f t="shared" ca="1" si="82"/>
        <v>69</v>
      </c>
      <c r="L195" s="163" t="str">
        <f ca="1"/>
        <v>Standard Grade</v>
      </c>
      <c r="M195" s="163" t="str">
        <f t="shared" ca="1" si="83"/>
        <v>Topaz (Small Standard Grade)</v>
      </c>
      <c r="N195" s="185">
        <f ca="1"/>
        <v>54</v>
      </c>
      <c r="P195" s="161">
        <f t="shared" ca="1" si="84"/>
        <v>2</v>
      </c>
      <c r="Q195" s="68" t="str">
        <f t="shared" ca="1" si="85"/>
        <v>Earrings</v>
      </c>
      <c r="R195" s="83">
        <f t="shared" ca="1" si="86"/>
        <v>7</v>
      </c>
      <c r="S195" t="str">
        <f t="shared" ca="1" si="87"/>
        <v>Electrum</v>
      </c>
      <c r="T195" s="83">
        <f t="shared" ca="1" si="88"/>
        <v>29</v>
      </c>
      <c r="U195" s="32" t="str">
        <f t="shared" ca="1" si="89"/>
        <v>Average</v>
      </c>
      <c r="V195" s="68" t="str">
        <f t="shared" ca="1" si="90"/>
        <v>Unexceptional</v>
      </c>
      <c r="W195" s="83" t="str">
        <f t="shared" ca="1" si="91"/>
        <v>Unexceptional Electrum Earrings with 2 Empty Settings, Pair</v>
      </c>
      <c r="X195">
        <f t="shared" ca="1" si="92"/>
        <v>2E-3</v>
      </c>
      <c r="Y195" s="146">
        <f t="shared" ca="1" si="93"/>
        <v>267.56</v>
      </c>
    </row>
    <row r="196" spans="1:25" ht="12.75">
      <c r="A196" s="189"/>
      <c r="B196" s="160">
        <f t="shared" ca="1" si="79"/>
        <v>65</v>
      </c>
      <c r="C196" s="163" t="str">
        <f ca="1"/>
        <v>Uncommon</v>
      </c>
      <c r="D196" s="199">
        <f t="shared" ca="1" si="80"/>
        <v>30</v>
      </c>
      <c r="E196" s="162">
        <f ca="1"/>
        <v>3</v>
      </c>
      <c r="F196" s="162">
        <f ca="1"/>
        <v>4</v>
      </c>
      <c r="G196" s="162">
        <f ca="1"/>
        <v>-10</v>
      </c>
      <c r="H196" s="96" t="str">
        <f t="array" aca="1" ref="H196" ca="1">OFFSET(TypeLast,1-D196,0)</f>
        <v>Aquamarine</v>
      </c>
      <c r="I196" s="160">
        <f t="shared" ca="1" si="81"/>
        <v>69</v>
      </c>
      <c r="J196" s="183" t="str">
        <f ca="1"/>
        <v>Small</v>
      </c>
      <c r="K196" s="188">
        <f t="shared" ca="1" si="82"/>
        <v>60</v>
      </c>
      <c r="L196" s="163" t="str">
        <f ca="1"/>
        <v>Standard Grade</v>
      </c>
      <c r="M196" s="163" t="str">
        <f t="shared" ca="1" si="83"/>
        <v>Aquamarine (Small Standard Grade)</v>
      </c>
      <c r="N196" s="185">
        <f ca="1"/>
        <v>69</v>
      </c>
      <c r="P196" s="161">
        <f t="shared" ca="1" si="84"/>
        <v>1</v>
      </c>
      <c r="Q196" s="68" t="str">
        <f t="shared" ca="1" si="85"/>
        <v>Ring</v>
      </c>
      <c r="R196" s="83">
        <f t="shared" ca="1" si="86"/>
        <v>2</v>
      </c>
      <c r="S196" t="str">
        <f t="shared" ca="1" si="87"/>
        <v>Steel</v>
      </c>
      <c r="T196" s="83">
        <f t="shared" ca="1" si="88"/>
        <v>2</v>
      </c>
      <c r="U196" s="32" t="str">
        <f t="shared" ca="1" si="89"/>
        <v>Low</v>
      </c>
      <c r="V196" s="68" t="str">
        <f t="shared" ca="1" si="90"/>
        <v>Tacky</v>
      </c>
      <c r="W196" s="83" t="str">
        <f t="shared" ca="1" si="91"/>
        <v>Tacky Steel Ring with 2 Empty Settings</v>
      </c>
      <c r="X196">
        <f t="shared" ca="1" si="92"/>
        <v>1E-3</v>
      </c>
      <c r="Y196" s="146">
        <f t="shared" ca="1" si="93"/>
        <v>80.160375000000002</v>
      </c>
    </row>
    <row r="197" spans="1:25" ht="12.75">
      <c r="A197" s="189"/>
      <c r="B197" s="160">
        <f t="shared" ca="1" si="79"/>
        <v>26</v>
      </c>
      <c r="C197" s="163" t="str">
        <f ca="1"/>
        <v>Very Common</v>
      </c>
      <c r="D197" s="199">
        <f t="shared" ca="1" si="80"/>
        <v>11</v>
      </c>
      <c r="E197" s="162">
        <f ca="1"/>
        <v>1</v>
      </c>
      <c r="F197" s="162">
        <f ca="1"/>
        <v>2</v>
      </c>
      <c r="G197" s="162">
        <f ca="1"/>
        <v>-10</v>
      </c>
      <c r="H197" s="96" t="str">
        <f t="array" aca="1" ref="H197" ca="1">OFFSET(TypeLast,1-D197,0)</f>
        <v>Pearl</v>
      </c>
      <c r="I197" s="160">
        <f t="shared" ca="1" si="81"/>
        <v>179</v>
      </c>
      <c r="J197" s="183" t="str">
        <f ca="1"/>
        <v>Huge</v>
      </c>
      <c r="K197" s="188">
        <f t="shared" ca="1" si="82"/>
        <v>67</v>
      </c>
      <c r="L197" s="163" t="str">
        <f ca="1"/>
        <v>Standard Grade</v>
      </c>
      <c r="M197" s="163" t="str">
        <f t="shared" ca="1" si="83"/>
        <v>Pearl (Huge Standard Grade)</v>
      </c>
      <c r="N197" s="185">
        <f ca="1"/>
        <v>1.79</v>
      </c>
      <c r="P197" s="161">
        <f t="shared" ca="1" si="84"/>
        <v>23</v>
      </c>
      <c r="Q197" s="68" t="str">
        <f t="shared" ca="1" si="85"/>
        <v>Figurine</v>
      </c>
      <c r="R197" s="83">
        <f t="shared" ca="1" si="86"/>
        <v>0</v>
      </c>
      <c r="S197" t="str">
        <f t="shared" ca="1" si="87"/>
        <v>Wood/Leather</v>
      </c>
      <c r="T197" s="83">
        <f t="shared" ca="1" si="88"/>
        <v>79</v>
      </c>
      <c r="U197" s="32" t="str">
        <f t="shared" ca="1" si="89"/>
        <v>High</v>
      </c>
      <c r="V197" s="68" t="str">
        <f t="shared" ca="1" si="90"/>
        <v>Splendid</v>
      </c>
      <c r="W197" s="83" t="str">
        <f t="shared" ca="1" si="91"/>
        <v>Splendid Wood/Leather Figurine, set with 1 Coral (Large Flawless) and 1 Empty Setting</v>
      </c>
      <c r="X197">
        <f t="shared" ca="1" si="92"/>
        <v>0.25</v>
      </c>
      <c r="Y197" s="146">
        <f t="shared" ca="1" si="93"/>
        <v>295.85000000000002</v>
      </c>
    </row>
    <row r="198" spans="1:25" ht="12.75">
      <c r="A198" s="189"/>
      <c r="B198" s="160">
        <f t="shared" ca="1" si="79"/>
        <v>2</v>
      </c>
      <c r="C198" s="163" t="str">
        <f ca="1"/>
        <v>Very Common</v>
      </c>
      <c r="D198" s="199">
        <f t="shared" ca="1" si="80"/>
        <v>35</v>
      </c>
      <c r="E198" s="162">
        <f ca="1"/>
        <v>1</v>
      </c>
      <c r="F198" s="162">
        <f ca="1"/>
        <v>5</v>
      </c>
      <c r="G198" s="162">
        <f ca="1"/>
        <v>-40</v>
      </c>
      <c r="H198" s="96" t="str">
        <f t="array" aca="1" ref="H198" ca="1">OFFSET(TypeLast,1-D198,0)</f>
        <v>Sapphire</v>
      </c>
      <c r="I198" s="160">
        <f t="shared" ca="1" si="81"/>
        <v>47</v>
      </c>
      <c r="J198" s="183" t="str">
        <f ca="1"/>
        <v>Tiny</v>
      </c>
      <c r="K198" s="188">
        <f t="shared" ca="1" si="82"/>
        <v>1</v>
      </c>
      <c r="L198" s="163" t="str">
        <f ca="1"/>
        <v>Inferior Grade</v>
      </c>
      <c r="M198" s="163" t="str">
        <f t="shared" ca="1" si="83"/>
        <v>Sapphire (Tiny Inferior Grade)</v>
      </c>
      <c r="N198" s="185">
        <f ca="1"/>
        <v>0.35250000000000004</v>
      </c>
      <c r="P198" s="161">
        <f t="shared" ca="1" si="84"/>
        <v>13</v>
      </c>
      <c r="Q198" s="68" t="str">
        <f t="shared" ca="1" si="85"/>
        <v>Cup</v>
      </c>
      <c r="R198" s="83">
        <f t="shared" ca="1" si="86"/>
        <v>4</v>
      </c>
      <c r="S198" t="str">
        <f t="shared" ca="1" si="87"/>
        <v>Bronze</v>
      </c>
      <c r="T198" s="83">
        <f t="shared" ca="1" si="88"/>
        <v>38</v>
      </c>
      <c r="U198" s="32" t="str">
        <f t="shared" ca="1" si="89"/>
        <v>Average</v>
      </c>
      <c r="V198" s="68" t="str">
        <f t="shared" ca="1" si="90"/>
        <v>Ordinary</v>
      </c>
      <c r="W198" s="83" t="str">
        <f t="shared" ca="1" si="91"/>
        <v>Ordinary Bronze Cup with 4 Empty Settings</v>
      </c>
      <c r="X198">
        <f t="shared" ca="1" si="92"/>
        <v>0.5</v>
      </c>
      <c r="Y198" s="146">
        <f t="shared" ca="1" si="93"/>
        <v>50.74</v>
      </c>
    </row>
    <row r="199" spans="1:25" ht="12.75">
      <c r="A199" s="189"/>
      <c r="B199" s="160">
        <f t="shared" ca="1" si="79"/>
        <v>95</v>
      </c>
      <c r="C199" s="163" t="str">
        <f ca="1"/>
        <v>Rare</v>
      </c>
      <c r="D199" s="199">
        <f t="shared" ca="1" si="80"/>
        <v>32</v>
      </c>
      <c r="E199" s="162">
        <f ca="1"/>
        <v>4</v>
      </c>
      <c r="F199" s="162">
        <f ca="1"/>
        <v>4</v>
      </c>
      <c r="G199" s="162">
        <f ca="1"/>
        <v>0</v>
      </c>
      <c r="H199" s="96" t="str">
        <f t="array" aca="1" ref="H199" ca="1">OFFSET(TypeLast,1-D199,0)</f>
        <v>Topaz</v>
      </c>
      <c r="I199" s="160">
        <f t="shared" ca="1" si="81"/>
        <v>89</v>
      </c>
      <c r="J199" s="183" t="str">
        <f ca="1"/>
        <v>Medium</v>
      </c>
      <c r="K199" s="188">
        <f t="shared" ca="1" si="82"/>
        <v>77</v>
      </c>
      <c r="L199" s="163" t="str">
        <f ca="1"/>
        <v>Superior Grade</v>
      </c>
      <c r="M199" s="163" t="str">
        <f t="shared" ca="1" si="83"/>
        <v>Topaz (Medium Superior Grade)</v>
      </c>
      <c r="N199" s="185">
        <f ca="1"/>
        <v>667.5</v>
      </c>
      <c r="P199" s="161">
        <f t="shared" ca="1" si="84"/>
        <v>12</v>
      </c>
      <c r="Q199" s="68" t="str">
        <f t="shared" ca="1" si="85"/>
        <v>Bowl (Small)</v>
      </c>
      <c r="R199" s="83">
        <f t="shared" ca="1" si="86"/>
        <v>1</v>
      </c>
      <c r="S199" t="str">
        <f t="shared" ca="1" si="87"/>
        <v>Wood/Leather</v>
      </c>
      <c r="T199" s="83">
        <f t="shared" ca="1" si="88"/>
        <v>85</v>
      </c>
      <c r="U199" s="32" t="str">
        <f t="shared" ca="1" si="89"/>
        <v>High</v>
      </c>
      <c r="V199" s="68" t="str">
        <f t="shared" ca="1" si="90"/>
        <v>Splendid</v>
      </c>
      <c r="W199" s="83" t="str">
        <f t="shared" ca="1" si="91"/>
        <v>Splendid Wood/Leather Bowl (Small), set with 1 Amethyst (Medium Superior Grade) and 2 Empty Settings</v>
      </c>
      <c r="X199">
        <f t="shared" ca="1" si="92"/>
        <v>1</v>
      </c>
      <c r="Y199" s="146">
        <f t="shared" ca="1" si="93"/>
        <v>192.8</v>
      </c>
    </row>
    <row r="200" spans="1:25" ht="12.75">
      <c r="A200" s="189"/>
      <c r="B200" s="160">
        <f t="shared" ca="1" si="79"/>
        <v>62</v>
      </c>
      <c r="C200" s="163" t="str">
        <f ca="1"/>
        <v>Uncommon</v>
      </c>
      <c r="D200" s="199">
        <f t="shared" ca="1" si="80"/>
        <v>32</v>
      </c>
      <c r="E200" s="162">
        <f ca="1"/>
        <v>3</v>
      </c>
      <c r="F200" s="162">
        <f ca="1"/>
        <v>4</v>
      </c>
      <c r="G200" s="162">
        <f ca="1"/>
        <v>-10</v>
      </c>
      <c r="H200" s="96" t="str">
        <f t="array" aca="1" ref="H200" ca="1">OFFSET(TypeLast,1-D200,0)</f>
        <v>Topaz</v>
      </c>
      <c r="I200" s="160">
        <f t="shared" ca="1" si="81"/>
        <v>80</v>
      </c>
      <c r="J200" s="183" t="str">
        <f ca="1"/>
        <v>Medium</v>
      </c>
      <c r="K200" s="188">
        <f t="shared" ca="1" si="82"/>
        <v>80</v>
      </c>
      <c r="L200" s="163" t="str">
        <f ca="1"/>
        <v>Superior Grade</v>
      </c>
      <c r="M200" s="163" t="str">
        <f t="shared" ca="1" si="83"/>
        <v>Topaz (Medium Superior Grade)</v>
      </c>
      <c r="N200" s="185">
        <f ca="1"/>
        <v>120</v>
      </c>
      <c r="P200" s="161">
        <f t="shared" ca="1" si="84"/>
        <v>12</v>
      </c>
      <c r="Q200" s="68" t="str">
        <f t="shared" ca="1" si="85"/>
        <v>Bowl (Small)</v>
      </c>
      <c r="R200" s="83">
        <f t="shared" ca="1" si="86"/>
        <v>9</v>
      </c>
      <c r="S200" t="str">
        <f t="shared" ca="1" si="87"/>
        <v>Platinum</v>
      </c>
      <c r="T200" s="83">
        <f t="shared" ca="1" si="88"/>
        <v>85</v>
      </c>
      <c r="U200" s="32" t="str">
        <f t="shared" ca="1" si="89"/>
        <v>High</v>
      </c>
      <c r="V200" s="68" t="str">
        <f t="shared" ca="1" si="90"/>
        <v>Fashionable</v>
      </c>
      <c r="W200" s="83" t="str">
        <f t="shared" ca="1" si="91"/>
        <v>Fashionable Platinum Bowl (Small) with 3 Empty Settings</v>
      </c>
      <c r="X200">
        <f t="shared" ca="1" si="92"/>
        <v>1</v>
      </c>
      <c r="Y200" s="146">
        <f t="shared" ca="1" si="93"/>
        <v>776.1</v>
      </c>
    </row>
    <row r="201" spans="1:25" ht="12.75">
      <c r="A201" s="189"/>
      <c r="B201" s="160">
        <f t="shared" ca="1" si="79"/>
        <v>46</v>
      </c>
      <c r="C201" s="163" t="str">
        <f ca="1"/>
        <v>Common</v>
      </c>
      <c r="D201" s="199">
        <f t="shared" ca="1" si="80"/>
        <v>14</v>
      </c>
      <c r="E201" s="162">
        <f ca="1"/>
        <v>2</v>
      </c>
      <c r="F201" s="162">
        <f ca="1"/>
        <v>2</v>
      </c>
      <c r="G201" s="162">
        <f ca="1"/>
        <v>0</v>
      </c>
      <c r="H201" s="96" t="str">
        <f t="array" aca="1" ref="H201" ca="1">OFFSET(TypeLast,1-D201,0)</f>
        <v>Tiger Eye</v>
      </c>
      <c r="I201" s="160">
        <f t="shared" ca="1" si="81"/>
        <v>81</v>
      </c>
      <c r="J201" s="183" t="str">
        <f ca="1"/>
        <v>Medium</v>
      </c>
      <c r="K201" s="188">
        <f t="shared" ca="1" si="82"/>
        <v>58</v>
      </c>
      <c r="L201" s="163" t="str">
        <f ca="1"/>
        <v>Standard Grade</v>
      </c>
      <c r="M201" s="163" t="str">
        <f t="shared" ca="1" si="83"/>
        <v>Tiger Eye (Medium Standard Grade)</v>
      </c>
      <c r="N201" s="185">
        <f ca="1"/>
        <v>8.1000000000000014</v>
      </c>
      <c r="P201" s="161">
        <f t="shared" ca="1" si="84"/>
        <v>2</v>
      </c>
      <c r="Q201" s="68" t="str">
        <f t="shared" ca="1" si="85"/>
        <v>Earrings</v>
      </c>
      <c r="R201" s="83">
        <f t="shared" ca="1" si="86"/>
        <v>4</v>
      </c>
      <c r="S201" t="str">
        <f t="shared" ca="1" si="87"/>
        <v>Bronze</v>
      </c>
      <c r="T201" s="83">
        <f t="shared" ca="1" si="88"/>
        <v>3</v>
      </c>
      <c r="U201" s="32" t="str">
        <f t="shared" ca="1" si="89"/>
        <v>Low</v>
      </c>
      <c r="V201" s="68" t="str">
        <f t="shared" ca="1" si="90"/>
        <v>Tacky</v>
      </c>
      <c r="W201" s="83" t="str">
        <f t="shared" ca="1" si="91"/>
        <v>Tacky Bronze Earrings with 2 Empty Settings, Pair</v>
      </c>
      <c r="X201">
        <f t="shared" ca="1" si="92"/>
        <v>2E-3</v>
      </c>
      <c r="Y201" s="146">
        <f t="shared" ca="1" si="93"/>
        <v>24.965959999999999</v>
      </c>
    </row>
    <row r="202" spans="1:25" ht="12.75">
      <c r="A202" s="189"/>
      <c r="B202" s="160">
        <f t="shared" ca="1" si="79"/>
        <v>47</v>
      </c>
      <c r="C202" s="163" t="str">
        <f ca="1"/>
        <v>Common</v>
      </c>
      <c r="D202" s="199">
        <f t="shared" ca="1" si="80"/>
        <v>27</v>
      </c>
      <c r="E202" s="162">
        <f ca="1"/>
        <v>2</v>
      </c>
      <c r="F202" s="162">
        <f ca="1"/>
        <v>4</v>
      </c>
      <c r="G202" s="162">
        <f ca="1"/>
        <v>-20</v>
      </c>
      <c r="H202" s="96" t="str">
        <f t="array" aca="1" ref="H202" ca="1">OFFSET(TypeLast,1-D202,0)</f>
        <v>Garnet</v>
      </c>
      <c r="I202" s="160">
        <f t="shared" ca="1" si="81"/>
        <v>96</v>
      </c>
      <c r="J202" s="183" t="str">
        <f ca="1"/>
        <v>Medium</v>
      </c>
      <c r="K202" s="188">
        <f t="shared" ca="1" si="82"/>
        <v>69</v>
      </c>
      <c r="L202" s="163" t="str">
        <f ca="1"/>
        <v>Standard Grade</v>
      </c>
      <c r="M202" s="163" t="str">
        <f t="shared" ca="1" si="83"/>
        <v>Garnet (Medium Standard Grade)</v>
      </c>
      <c r="N202" s="185">
        <f ca="1"/>
        <v>9.6</v>
      </c>
      <c r="P202" s="161">
        <f t="shared" ca="1" si="84"/>
        <v>19</v>
      </c>
      <c r="Q202" s="68" t="str">
        <f t="shared" ca="1" si="85"/>
        <v>Flask</v>
      </c>
      <c r="R202" s="83">
        <f t="shared" ca="1" si="86"/>
        <v>9</v>
      </c>
      <c r="S202" t="str">
        <f t="shared" ca="1" si="87"/>
        <v>Platinum</v>
      </c>
      <c r="T202" s="83">
        <f t="shared" ca="1" si="88"/>
        <v>12</v>
      </c>
      <c r="U202" s="32" t="str">
        <f t="shared" ca="1" si="89"/>
        <v>Average</v>
      </c>
      <c r="V202" s="68" t="str">
        <f t="shared" ca="1" si="90"/>
        <v>Unexceptional</v>
      </c>
      <c r="W202" s="83" t="str">
        <f t="shared" ca="1" si="91"/>
        <v>Unexceptional Platinum Flask, set with 1 Sapphire (Medium Standard Grade) and 2 Empty Settings</v>
      </c>
      <c r="X202">
        <f t="shared" ca="1" si="92"/>
        <v>0.5</v>
      </c>
      <c r="Y202" s="146">
        <f t="shared" ca="1" si="93"/>
        <v>483.2</v>
      </c>
    </row>
    <row r="203" spans="1:25" ht="12.75">
      <c r="A203" s="189"/>
      <c r="B203" s="160">
        <f t="shared" ca="1" si="79"/>
        <v>16</v>
      </c>
      <c r="C203" s="163" t="str">
        <f ca="1"/>
        <v>Very Common</v>
      </c>
      <c r="D203" s="199">
        <f t="shared" ca="1" si="80"/>
        <v>2</v>
      </c>
      <c r="E203" s="162">
        <f ca="1"/>
        <v>1</v>
      </c>
      <c r="F203" s="162">
        <f ca="1"/>
        <v>1</v>
      </c>
      <c r="G203" s="162">
        <f ca="1"/>
        <v>0</v>
      </c>
      <c r="H203" s="96" t="str">
        <f t="array" aca="1" ref="H203" ca="1">OFFSET(TypeLast,1-D203,0)</f>
        <v>Banded Agate</v>
      </c>
      <c r="I203" s="160">
        <f t="shared" ca="1" si="81"/>
        <v>53</v>
      </c>
      <c r="J203" s="183" t="str">
        <f ca="1"/>
        <v>Small</v>
      </c>
      <c r="K203" s="188">
        <f t="shared" ca="1" si="82"/>
        <v>90</v>
      </c>
      <c r="L203" s="163" t="str">
        <f ca="1"/>
        <v>Superior Grade</v>
      </c>
      <c r="M203" s="163" t="str">
        <f t="shared" ca="1" si="83"/>
        <v>Banded Agate (Small Superior Grade)</v>
      </c>
      <c r="N203" s="185">
        <f ca="1"/>
        <v>0.79500000000000004</v>
      </c>
      <c r="P203" s="161">
        <f t="shared" ca="1" si="84"/>
        <v>22</v>
      </c>
      <c r="Q203" s="68" t="str">
        <f t="shared" ca="1" si="85"/>
        <v>Chalice</v>
      </c>
      <c r="R203" s="83">
        <f t="shared" ca="1" si="86"/>
        <v>6</v>
      </c>
      <c r="S203" t="str">
        <f t="shared" ca="1" si="87"/>
        <v>Silver</v>
      </c>
      <c r="T203" s="83">
        <f t="shared" ca="1" si="88"/>
        <v>9</v>
      </c>
      <c r="U203" s="32" t="str">
        <f t="shared" ca="1" si="89"/>
        <v>Average</v>
      </c>
      <c r="V203" s="68" t="str">
        <f t="shared" ca="1" si="90"/>
        <v>Fair</v>
      </c>
      <c r="W203" s="83" t="str">
        <f t="shared" ca="1" si="91"/>
        <v>Fair Silver Chalice, set with 1 Amber (Small Superior Grade) and 1 Empty Setting</v>
      </c>
      <c r="X203">
        <f t="shared" ca="1" si="92"/>
        <v>1</v>
      </c>
      <c r="Y203" s="146">
        <f t="shared" ca="1" si="93"/>
        <v>107.8</v>
      </c>
    </row>
    <row r="204" spans="1:25" ht="12.75">
      <c r="A204" s="189"/>
      <c r="B204" s="160">
        <f t="shared" ca="1" si="79"/>
        <v>88</v>
      </c>
      <c r="C204" s="163" t="str">
        <f ca="1"/>
        <v>Rare</v>
      </c>
      <c r="D204" s="199">
        <f t="shared" ca="1" si="80"/>
        <v>30</v>
      </c>
      <c r="E204" s="162">
        <f ca="1"/>
        <v>4</v>
      </c>
      <c r="F204" s="162">
        <f ca="1"/>
        <v>4</v>
      </c>
      <c r="G204" s="162">
        <f ca="1"/>
        <v>0</v>
      </c>
      <c r="H204" s="96" t="str">
        <f t="array" aca="1" ref="H204" ca="1">OFFSET(TypeLast,1-D204,0)</f>
        <v>Aquamarine</v>
      </c>
      <c r="I204" s="160">
        <f t="shared" ca="1" si="81"/>
        <v>107</v>
      </c>
      <c r="J204" s="183" t="str">
        <f ca="1"/>
        <v>Medium</v>
      </c>
      <c r="K204" s="188">
        <f t="shared" ca="1" si="82"/>
        <v>82</v>
      </c>
      <c r="L204" s="163" t="str">
        <f ca="1"/>
        <v>Superior Grade</v>
      </c>
      <c r="M204" s="163" t="str">
        <f t="shared" ca="1" si="83"/>
        <v>Aquamarine (Medium Superior Grade)</v>
      </c>
      <c r="N204" s="185">
        <f ca="1"/>
        <v>802.5</v>
      </c>
      <c r="P204" s="161">
        <f t="shared" ca="1" si="84"/>
        <v>21</v>
      </c>
      <c r="Q204" s="68" t="str">
        <f t="shared" ca="1" si="85"/>
        <v>Tiara</v>
      </c>
      <c r="R204" s="83">
        <f t="shared" ca="1" si="86"/>
        <v>2</v>
      </c>
      <c r="S204" s="96" t="str">
        <f t="shared" ca="1" si="87"/>
        <v>Steel</v>
      </c>
      <c r="T204" s="83">
        <f t="shared" ca="1" si="88"/>
        <v>40</v>
      </c>
      <c r="U204" s="163" t="str">
        <f t="shared" ca="1" si="89"/>
        <v>Average</v>
      </c>
      <c r="V204" s="68" t="str">
        <f t="shared" ca="1" si="90"/>
        <v>Unexceptional</v>
      </c>
      <c r="W204" s="83" t="str">
        <f t="shared" ca="1" si="91"/>
        <v>Unexceptional Steel Tiara with 3 Empty Settings</v>
      </c>
      <c r="X204" s="158">
        <f t="shared" ca="1" si="92"/>
        <v>0.5</v>
      </c>
      <c r="Y204" s="146">
        <f t="shared" ca="1" si="93"/>
        <v>15.837499999999999</v>
      </c>
    </row>
    <row r="205" spans="1:25" ht="12.75">
      <c r="A205" s="189"/>
      <c r="B205" s="160">
        <f t="shared" ca="1" si="79"/>
        <v>39</v>
      </c>
      <c r="C205" s="163" t="str">
        <f ca="1"/>
        <v>Common</v>
      </c>
      <c r="D205" s="199">
        <f t="shared" ca="1" si="80"/>
        <v>14</v>
      </c>
      <c r="E205" s="162">
        <f ca="1"/>
        <v>2</v>
      </c>
      <c r="F205" s="162">
        <f ca="1"/>
        <v>2</v>
      </c>
      <c r="G205" s="162">
        <f ca="1"/>
        <v>0</v>
      </c>
      <c r="H205" s="96" t="str">
        <f t="array" aca="1" ref="H205" ca="1">OFFSET(TypeLast,1-D205,0)</f>
        <v>Tiger Eye</v>
      </c>
      <c r="I205" s="160">
        <f t="shared" ca="1" si="81"/>
        <v>35</v>
      </c>
      <c r="J205" s="183" t="str">
        <f ca="1"/>
        <v>Tiny</v>
      </c>
      <c r="K205" s="188">
        <f t="shared" ca="1" si="82"/>
        <v>14</v>
      </c>
      <c r="L205" s="163" t="str">
        <f ca="1"/>
        <v>Inferior Grade</v>
      </c>
      <c r="M205" s="163" t="str">
        <f t="shared" ca="1" si="83"/>
        <v>Tiger Eye (Tiny Inferior Grade)</v>
      </c>
      <c r="N205" s="185">
        <f ca="1"/>
        <v>2.6250000000000004</v>
      </c>
      <c r="P205" s="161">
        <f t="shared" ca="1" si="84"/>
        <v>4</v>
      </c>
      <c r="Q205" s="74" t="str">
        <f t="shared" ca="1" si="85"/>
        <v>Necklace</v>
      </c>
      <c r="R205" s="86">
        <f t="shared" ca="1" si="86"/>
        <v>9</v>
      </c>
      <c r="S205" s="165" t="str">
        <f t="shared" ca="1" si="87"/>
        <v>Platinum</v>
      </c>
      <c r="T205" s="86">
        <f t="shared" ca="1" si="88"/>
        <v>-2</v>
      </c>
      <c r="U205" s="166" t="str">
        <f t="shared" ca="1" si="89"/>
        <v>Low</v>
      </c>
      <c r="V205" s="74" t="str">
        <f t="shared" ca="1" si="90"/>
        <v>Dingy</v>
      </c>
      <c r="W205" s="86" t="str">
        <f t="shared" ca="1" si="91"/>
        <v>Dingy Platinum Necklace, set with 1 Onyx (Medium Standard Grade) and 1 Empty Setting</v>
      </c>
      <c r="X205" s="167">
        <f t="shared" ca="1" si="92"/>
        <v>0.01</v>
      </c>
      <c r="Y205" s="155">
        <f t="shared" ca="1" si="93"/>
        <v>98.295000000000002</v>
      </c>
    </row>
    <row r="206" spans="1:25" ht="12.75">
      <c r="A206" s="189"/>
      <c r="B206" s="160">
        <f t="shared" ca="1" si="79"/>
        <v>90</v>
      </c>
      <c r="C206" s="163" t="str">
        <f ca="1"/>
        <v>Rare</v>
      </c>
      <c r="D206" s="199">
        <f t="shared" ca="1" si="80"/>
        <v>31</v>
      </c>
      <c r="E206" s="162">
        <f ca="1"/>
        <v>4</v>
      </c>
      <c r="F206" s="162">
        <f ca="1"/>
        <v>4</v>
      </c>
      <c r="G206" s="162">
        <f ca="1"/>
        <v>0</v>
      </c>
      <c r="H206" s="96" t="str">
        <f t="array" aca="1" ref="H206" ca="1">OFFSET(TypeLast,1-D206,0)</f>
        <v>Amber</v>
      </c>
      <c r="I206" s="160">
        <f t="shared" ca="1" si="81"/>
        <v>63</v>
      </c>
      <c r="J206" s="183" t="str">
        <f ca="1"/>
        <v>Small</v>
      </c>
      <c r="K206" s="188">
        <f t="shared" ca="1" si="82"/>
        <v>23</v>
      </c>
      <c r="L206" s="163" t="str">
        <f ca="1"/>
        <v>Inferior Grade</v>
      </c>
      <c r="M206" s="163" t="str">
        <f t="shared" ca="1" si="83"/>
        <v>Amber (Small Inferior Grade)</v>
      </c>
      <c r="N206" s="185">
        <f ca="1"/>
        <v>236.25</v>
      </c>
      <c r="P206" s="24" t="s">
        <v>236</v>
      </c>
      <c r="Q206" s="88" t="s">
        <v>237</v>
      </c>
      <c r="R206" s="88" t="s">
        <v>238</v>
      </c>
      <c r="S206" s="24" t="s">
        <v>239</v>
      </c>
      <c r="T206" s="88" t="s">
        <v>246</v>
      </c>
      <c r="U206" s="24" t="s">
        <v>241</v>
      </c>
      <c r="V206" s="168" t="s">
        <v>242</v>
      </c>
    </row>
    <row r="207" spans="1:25" ht="12.75">
      <c r="A207" s="189"/>
      <c r="B207" s="160">
        <f t="shared" ca="1" si="79"/>
        <v>64</v>
      </c>
      <c r="C207" s="163" t="str">
        <f ca="1"/>
        <v>Uncommon</v>
      </c>
      <c r="D207" s="199">
        <f t="shared" ca="1" si="80"/>
        <v>31</v>
      </c>
      <c r="E207" s="162">
        <f ca="1"/>
        <v>3</v>
      </c>
      <c r="F207" s="162">
        <f ca="1"/>
        <v>4</v>
      </c>
      <c r="G207" s="162">
        <f ca="1"/>
        <v>-10</v>
      </c>
      <c r="H207" s="96" t="str">
        <f t="array" aca="1" ref="H207" ca="1">OFFSET(TypeLast,1-D207,0)</f>
        <v>Amber</v>
      </c>
      <c r="I207" s="160">
        <f t="shared" ca="1" si="81"/>
        <v>14</v>
      </c>
      <c r="J207" s="183" t="str">
        <f ca="1"/>
        <v>Tiny</v>
      </c>
      <c r="K207" s="188">
        <f t="shared" ca="1" si="82"/>
        <v>41</v>
      </c>
      <c r="L207" s="163" t="str">
        <f ca="1"/>
        <v>Standard Grade</v>
      </c>
      <c r="M207" s="163" t="str">
        <f t="shared" ca="1" si="83"/>
        <v>Amber (Tiny Standard Grade)</v>
      </c>
      <c r="N207" s="185">
        <f ca="1"/>
        <v>14.000000000000002</v>
      </c>
      <c r="P207" s="77"/>
      <c r="Q207" s="82"/>
      <c r="R207" s="82">
        <f>ROW()</f>
        <v>207</v>
      </c>
      <c r="S207" s="82"/>
      <c r="T207" s="77"/>
      <c r="U207" s="82"/>
      <c r="V207" s="82"/>
    </row>
    <row r="208" spans="1:25" ht="12.75">
      <c r="A208" s="189"/>
      <c r="B208" s="160">
        <f t="shared" ca="1" si="79"/>
        <v>84</v>
      </c>
      <c r="C208" s="163" t="str">
        <f ca="1"/>
        <v>Uncommon</v>
      </c>
      <c r="D208" s="199">
        <f t="shared" ca="1" si="80"/>
        <v>37</v>
      </c>
      <c r="E208" s="162">
        <f ca="1"/>
        <v>3</v>
      </c>
      <c r="F208" s="162">
        <f ca="1"/>
        <v>5</v>
      </c>
      <c r="G208" s="162">
        <f ca="1"/>
        <v>-20</v>
      </c>
      <c r="H208" s="96" t="str">
        <f t="array" aca="1" ref="H208" ca="1">OFFSET(TypeLast,1-D208,0)</f>
        <v>Ruby</v>
      </c>
      <c r="I208" s="160">
        <f t="shared" ca="1" si="81"/>
        <v>75</v>
      </c>
      <c r="J208" s="183" t="str">
        <f ca="1"/>
        <v>Medium</v>
      </c>
      <c r="K208" s="188">
        <f t="shared" ca="1" si="82"/>
        <v>41</v>
      </c>
      <c r="L208" s="163" t="str">
        <f ca="1"/>
        <v>Standard Grade</v>
      </c>
      <c r="M208" s="163" t="str">
        <f t="shared" ca="1" si="83"/>
        <v>Ruby (Medium Standard Grade)</v>
      </c>
      <c r="N208" s="185">
        <f ca="1"/>
        <v>75</v>
      </c>
      <c r="P208" s="46">
        <f t="shared" ref="P208:P219" ca="1" si="94">IF(OFFSET(ItemTypeRef,MATCH(Q194,ItemTypeRange,0),3)=2,2,RANDBETWEEN(2,OFFSET(ItemTypeRef,MATCH(Q194,ItemTypeRange,0),3)))</f>
        <v>2</v>
      </c>
      <c r="Q208" s="82">
        <v>0</v>
      </c>
      <c r="R208" s="28" t="str">
        <f t="shared" ref="R208:R219" ca="1" si="95">OFFSET(MStoneRef,MATCH(LARGE(MStoneRange,(ROW()-$R$207)),MStoneRange,0),-1)</f>
        <v>Star Ruby (Medium Flawless)</v>
      </c>
      <c r="S208" s="138">
        <f t="shared" ref="S208:S219" ca="1" si="96">OFFSET(MStoneRef,MATCH(LARGE(MStoneRange,(ROW()-$R$207)),MStoneRange,0),0)</f>
        <v>8100.0000000000009</v>
      </c>
      <c r="T208" s="27">
        <f t="shared" ref="T208:T219" ca="1" si="97">P208-Q208</f>
        <v>2</v>
      </c>
      <c r="U208" s="25" t="str">
        <f t="shared" ref="U208:U219" ca="1" si="98">IF(T208=1,"Empty Setting","Empty Settings")</f>
        <v>Empty Settings</v>
      </c>
      <c r="V208" s="200">
        <f t="shared" ref="V208:V219" ca="1" si="99">S208*0.05</f>
        <v>405.00000000000006</v>
      </c>
    </row>
    <row r="209" spans="1:22" ht="12.75">
      <c r="A209" s="189"/>
      <c r="B209" s="160">
        <f t="shared" ca="1" si="79"/>
        <v>75</v>
      </c>
      <c r="C209" s="163" t="str">
        <f ca="1"/>
        <v>Uncommon</v>
      </c>
      <c r="D209" s="199">
        <f t="shared" ca="1" si="80"/>
        <v>24</v>
      </c>
      <c r="E209" s="162">
        <f ca="1"/>
        <v>3</v>
      </c>
      <c r="F209" s="162">
        <f ca="1"/>
        <v>3</v>
      </c>
      <c r="G209" s="162">
        <f ca="1"/>
        <v>0</v>
      </c>
      <c r="H209" s="96" t="str">
        <f t="array" aca="1" ref="H209" ca="1">OFFSET(TypeLast,1-D209,0)</f>
        <v>Coral</v>
      </c>
      <c r="I209" s="160">
        <f t="shared" ca="1" si="81"/>
        <v>80</v>
      </c>
      <c r="J209" s="183" t="str">
        <f ca="1"/>
        <v>Medium</v>
      </c>
      <c r="K209" s="188">
        <f t="shared" ca="1" si="82"/>
        <v>1</v>
      </c>
      <c r="L209" s="163" t="str">
        <f ca="1"/>
        <v>Inferior Grade</v>
      </c>
      <c r="M209" s="163" t="str">
        <f t="shared" ca="1" si="83"/>
        <v>Coral (Medium Inferior Grade)</v>
      </c>
      <c r="N209" s="185">
        <f ca="1"/>
        <v>60</v>
      </c>
      <c r="P209" s="68">
        <f t="shared" ca="1" si="94"/>
        <v>2</v>
      </c>
      <c r="Q209" s="83">
        <v>0</v>
      </c>
      <c r="R209" s="32" t="str">
        <f t="shared" ca="1" si="95"/>
        <v>Sapphire (Medium Superior Grade)</v>
      </c>
      <c r="S209" s="146">
        <f t="shared" ca="1" si="96"/>
        <v>1335</v>
      </c>
      <c r="T209">
        <f t="shared" ca="1" si="97"/>
        <v>2</v>
      </c>
      <c r="U209" s="81" t="str">
        <f t="shared" ca="1" si="98"/>
        <v>Empty Settings</v>
      </c>
      <c r="V209" s="201">
        <f t="shared" ca="1" si="99"/>
        <v>66.75</v>
      </c>
    </row>
    <row r="210" spans="1:22" ht="12.75">
      <c r="A210" s="189"/>
      <c r="B210" s="160">
        <f t="shared" ca="1" si="79"/>
        <v>15</v>
      </c>
      <c r="C210" s="163" t="str">
        <f ca="1"/>
        <v>Very Common</v>
      </c>
      <c r="D210" s="199">
        <f t="shared" ca="1" si="80"/>
        <v>7</v>
      </c>
      <c r="E210" s="162">
        <f ca="1"/>
        <v>1</v>
      </c>
      <c r="F210" s="162">
        <f ca="1"/>
        <v>1</v>
      </c>
      <c r="G210" s="162">
        <f ca="1"/>
        <v>0</v>
      </c>
      <c r="H210" s="96" t="str">
        <f t="array" aca="1" ref="H210" ca="1">OFFSET(TypeLast,1-D210,0)</f>
        <v>Jasper</v>
      </c>
      <c r="I210" s="160">
        <f t="shared" ca="1" si="81"/>
        <v>138</v>
      </c>
      <c r="J210" s="183" t="str">
        <f ca="1"/>
        <v>Large</v>
      </c>
      <c r="K210" s="188">
        <f t="shared" ca="1" si="82"/>
        <v>1</v>
      </c>
      <c r="L210" s="163" t="str">
        <f ca="1"/>
        <v>Inferior Grade</v>
      </c>
      <c r="M210" s="163" t="str">
        <f t="shared" ca="1" si="83"/>
        <v>Jasper (Large Inferior Grade)</v>
      </c>
      <c r="N210" s="185">
        <f ca="1"/>
        <v>1.0350000000000001</v>
      </c>
      <c r="P210" s="68">
        <f t="shared" ca="1" si="94"/>
        <v>2</v>
      </c>
      <c r="Q210" s="83">
        <v>0</v>
      </c>
      <c r="R210" s="32" t="str">
        <f t="shared" ca="1" si="95"/>
        <v>Amethyst (Medium Superior Grade)</v>
      </c>
      <c r="S210" s="146">
        <f t="shared" ca="1" si="96"/>
        <v>795</v>
      </c>
      <c r="T210">
        <f t="shared" ca="1" si="97"/>
        <v>2</v>
      </c>
      <c r="U210" s="81" t="str">
        <f t="shared" ca="1" si="98"/>
        <v>Empty Settings</v>
      </c>
      <c r="V210" s="201">
        <f t="shared" ca="1" si="99"/>
        <v>39.75</v>
      </c>
    </row>
    <row r="211" spans="1:22" ht="12.75">
      <c r="A211" s="189"/>
      <c r="B211" s="160">
        <f t="shared" ca="1" si="79"/>
        <v>93</v>
      </c>
      <c r="C211" s="163" t="str">
        <f ca="1"/>
        <v>Rare</v>
      </c>
      <c r="D211" s="199">
        <f t="shared" ca="1" si="80"/>
        <v>35</v>
      </c>
      <c r="E211" s="162">
        <f ca="1"/>
        <v>4</v>
      </c>
      <c r="F211" s="162">
        <f ca="1"/>
        <v>5</v>
      </c>
      <c r="G211" s="162">
        <f ca="1"/>
        <v>-10</v>
      </c>
      <c r="H211" s="96" t="str">
        <f t="array" aca="1" ref="H211" ca="1">OFFSET(TypeLast,1-D211,0)</f>
        <v>Sapphire</v>
      </c>
      <c r="I211" s="160">
        <f t="shared" ca="1" si="81"/>
        <v>92</v>
      </c>
      <c r="J211" s="183" t="str">
        <f ca="1"/>
        <v>Medium</v>
      </c>
      <c r="K211" s="188">
        <f t="shared" ca="1" si="82"/>
        <v>24</v>
      </c>
      <c r="L211" s="163" t="str">
        <f ca="1"/>
        <v>Inferior Grade</v>
      </c>
      <c r="M211" s="163" t="str">
        <f t="shared" ca="1" si="83"/>
        <v>Sapphire (Medium Inferior Grade)</v>
      </c>
      <c r="N211" s="185">
        <f ca="1"/>
        <v>345</v>
      </c>
      <c r="P211" s="68">
        <f t="shared" ca="1" si="94"/>
        <v>2</v>
      </c>
      <c r="Q211" s="83">
        <v>1</v>
      </c>
      <c r="R211" s="32" t="str">
        <f t="shared" ca="1" si="95"/>
        <v>Coral (Large Flawless)</v>
      </c>
      <c r="S211" s="146">
        <f t="shared" ca="1" si="96"/>
        <v>276</v>
      </c>
      <c r="T211">
        <f t="shared" ca="1" si="97"/>
        <v>1</v>
      </c>
      <c r="U211" s="81" t="str">
        <f t="shared" ca="1" si="98"/>
        <v>Empty Setting</v>
      </c>
      <c r="V211" s="201">
        <f t="shared" ca="1" si="99"/>
        <v>13.8</v>
      </c>
    </row>
    <row r="212" spans="1:22" ht="12.75">
      <c r="A212" s="189"/>
      <c r="B212" s="160">
        <f t="shared" ca="1" si="79"/>
        <v>79</v>
      </c>
      <c r="C212" s="163" t="str">
        <f ca="1"/>
        <v>Uncommon</v>
      </c>
      <c r="D212" s="199">
        <f t="shared" ca="1" si="80"/>
        <v>30</v>
      </c>
      <c r="E212" s="162">
        <f ca="1"/>
        <v>3</v>
      </c>
      <c r="F212" s="162">
        <f ca="1"/>
        <v>4</v>
      </c>
      <c r="G212" s="162">
        <f ca="1"/>
        <v>-10</v>
      </c>
      <c r="H212" s="96" t="str">
        <f t="array" aca="1" ref="H212" ca="1">OFFSET(TypeLast,1-D212,0)</f>
        <v>Aquamarine</v>
      </c>
      <c r="I212" s="160">
        <f t="shared" ca="1" si="81"/>
        <v>83</v>
      </c>
      <c r="J212" s="183" t="str">
        <f ca="1"/>
        <v>Medium</v>
      </c>
      <c r="K212" s="188">
        <f t="shared" ca="1" si="82"/>
        <v>1</v>
      </c>
      <c r="L212" s="163" t="str">
        <f ca="1"/>
        <v>Inferior Grade</v>
      </c>
      <c r="M212" s="163" t="str">
        <f t="shared" ca="1" si="83"/>
        <v>Aquamarine (Medium Inferior Grade)</v>
      </c>
      <c r="N212" s="185">
        <f ca="1"/>
        <v>62.25</v>
      </c>
      <c r="P212" s="68">
        <f t="shared" ca="1" si="94"/>
        <v>4</v>
      </c>
      <c r="Q212" s="83">
        <v>0</v>
      </c>
      <c r="R212" s="32" t="str">
        <f t="shared" ca="1" si="95"/>
        <v>Pearl (Huge Superior Grade)</v>
      </c>
      <c r="S212" s="146">
        <f t="shared" ca="1" si="96"/>
        <v>247.5</v>
      </c>
      <c r="T212">
        <f t="shared" ca="1" si="97"/>
        <v>4</v>
      </c>
      <c r="U212" s="81" t="str">
        <f t="shared" ca="1" si="98"/>
        <v>Empty Settings</v>
      </c>
      <c r="V212" s="201">
        <f t="shared" ca="1" si="99"/>
        <v>12.375</v>
      </c>
    </row>
    <row r="213" spans="1:22" ht="12.75">
      <c r="A213" s="189"/>
      <c r="B213" s="160">
        <f t="shared" ca="1" si="79"/>
        <v>2</v>
      </c>
      <c r="C213" s="163" t="str">
        <f ca="1"/>
        <v>Very Common</v>
      </c>
      <c r="D213" s="199">
        <f t="shared" ca="1" si="80"/>
        <v>9</v>
      </c>
      <c r="E213" s="162">
        <f ca="1"/>
        <v>1</v>
      </c>
      <c r="F213" s="162">
        <f ca="1"/>
        <v>1</v>
      </c>
      <c r="G213" s="162">
        <f ca="1"/>
        <v>0</v>
      </c>
      <c r="H213" s="96" t="str">
        <f t="array" aca="1" ref="H213" ca="1">OFFSET(TypeLast,1-D213,0)</f>
        <v>Rock Crystal</v>
      </c>
      <c r="I213" s="160">
        <f t="shared" ca="1" si="81"/>
        <v>58</v>
      </c>
      <c r="J213" s="183" t="str">
        <f ca="1"/>
        <v>Small</v>
      </c>
      <c r="K213" s="188">
        <f t="shared" ca="1" si="82"/>
        <v>89</v>
      </c>
      <c r="L213" s="163" t="str">
        <f ca="1"/>
        <v>Superior Grade</v>
      </c>
      <c r="M213" s="163" t="str">
        <f t="shared" ca="1" si="83"/>
        <v>Rock Crystal (Small Superior Grade)</v>
      </c>
      <c r="N213" s="185">
        <f ca="1"/>
        <v>0.86999999999999988</v>
      </c>
      <c r="P213" s="68">
        <f t="shared" ca="1" si="94"/>
        <v>3</v>
      </c>
      <c r="Q213" s="83">
        <v>1</v>
      </c>
      <c r="R213" s="32" t="str">
        <f t="shared" ca="1" si="95"/>
        <v>Amethyst (Medium Superior Grade)</v>
      </c>
      <c r="S213" s="146">
        <f t="shared" ca="1" si="96"/>
        <v>171.00000000000003</v>
      </c>
      <c r="T213">
        <f t="shared" ca="1" si="97"/>
        <v>2</v>
      </c>
      <c r="U213" s="81" t="str">
        <f t="shared" ca="1" si="98"/>
        <v>Empty Settings</v>
      </c>
      <c r="V213" s="201">
        <f t="shared" ca="1" si="99"/>
        <v>8.5500000000000025</v>
      </c>
    </row>
    <row r="214" spans="1:22" ht="12.75">
      <c r="A214" s="189"/>
      <c r="B214" s="160">
        <f t="shared" ca="1" si="79"/>
        <v>24</v>
      </c>
      <c r="C214" s="163" t="str">
        <f ca="1"/>
        <v>Very Common</v>
      </c>
      <c r="D214" s="199">
        <f t="shared" ca="1" si="80"/>
        <v>26</v>
      </c>
      <c r="E214" s="162">
        <f ca="1"/>
        <v>1</v>
      </c>
      <c r="F214" s="162">
        <f ca="1"/>
        <v>3</v>
      </c>
      <c r="G214" s="162">
        <f ca="1"/>
        <v>-20</v>
      </c>
      <c r="H214" s="96" t="str">
        <f t="array" aca="1" ref="H214" ca="1">OFFSET(TypeLast,1-D214,0)</f>
        <v>Peridot</v>
      </c>
      <c r="I214" s="160">
        <f t="shared" ca="1" si="81"/>
        <v>120</v>
      </c>
      <c r="J214" s="183" t="str">
        <f ca="1"/>
        <v>Medium</v>
      </c>
      <c r="K214" s="188">
        <f t="shared" ca="1" si="82"/>
        <v>42</v>
      </c>
      <c r="L214" s="163" t="str">
        <f ca="1"/>
        <v>Standard Grade</v>
      </c>
      <c r="M214" s="163" t="str">
        <f t="shared" ca="1" si="83"/>
        <v>Peridot (Medium Standard Grade)</v>
      </c>
      <c r="N214" s="185">
        <f ca="1"/>
        <v>1.2</v>
      </c>
      <c r="P214" s="68">
        <f t="shared" ca="1" si="94"/>
        <v>3</v>
      </c>
      <c r="Q214" s="83">
        <v>0</v>
      </c>
      <c r="R214" s="32" t="str">
        <f t="shared" ca="1" si="95"/>
        <v>Peridot (Medium Superior Grade)</v>
      </c>
      <c r="S214" s="146">
        <f t="shared" ca="1" si="96"/>
        <v>144</v>
      </c>
      <c r="T214">
        <f t="shared" ca="1" si="97"/>
        <v>3</v>
      </c>
      <c r="U214" s="81" t="str">
        <f t="shared" ca="1" si="98"/>
        <v>Empty Settings</v>
      </c>
      <c r="V214" s="201">
        <f t="shared" ca="1" si="99"/>
        <v>7.2</v>
      </c>
    </row>
    <row r="215" spans="1:22" ht="12.75">
      <c r="A215" s="189"/>
      <c r="B215" s="160">
        <f t="shared" ca="1" si="79"/>
        <v>73</v>
      </c>
      <c r="C215" s="163" t="str">
        <f ca="1"/>
        <v>Uncommon</v>
      </c>
      <c r="D215" s="199">
        <f t="shared" ca="1" si="80"/>
        <v>33</v>
      </c>
      <c r="E215" s="162">
        <f ca="1"/>
        <v>3</v>
      </c>
      <c r="F215" s="162">
        <f ca="1"/>
        <v>4</v>
      </c>
      <c r="G215" s="162">
        <f ca="1"/>
        <v>-10</v>
      </c>
      <c r="H215" s="96" t="str">
        <f t="array" aca="1" ref="H215" ca="1">OFFSET(TypeLast,1-D215,0)</f>
        <v>Amethyst</v>
      </c>
      <c r="I215" s="160">
        <f t="shared" ca="1" si="81"/>
        <v>97</v>
      </c>
      <c r="J215" s="183" t="str">
        <f ca="1"/>
        <v>Medium</v>
      </c>
      <c r="K215" s="188">
        <f t="shared" ca="1" si="82"/>
        <v>36</v>
      </c>
      <c r="L215" s="163" t="str">
        <f ca="1"/>
        <v>Standard Grade</v>
      </c>
      <c r="M215" s="163" t="str">
        <f t="shared" ca="1" si="83"/>
        <v>Amethyst (Medium Standard Grade)</v>
      </c>
      <c r="N215" s="185">
        <f ca="1"/>
        <v>97</v>
      </c>
      <c r="P215" s="68">
        <f t="shared" ca="1" si="94"/>
        <v>2</v>
      </c>
      <c r="Q215" s="83">
        <v>0</v>
      </c>
      <c r="R215" s="32" t="str">
        <f t="shared" ca="1" si="95"/>
        <v>Jet (Medium Standard Grade)</v>
      </c>
      <c r="S215" s="146">
        <f t="shared" ca="1" si="96"/>
        <v>124</v>
      </c>
      <c r="T215">
        <f t="shared" ca="1" si="97"/>
        <v>2</v>
      </c>
      <c r="U215" s="81" t="str">
        <f t="shared" ca="1" si="98"/>
        <v>Empty Settings</v>
      </c>
      <c r="V215" s="201">
        <f t="shared" ca="1" si="99"/>
        <v>6.2</v>
      </c>
    </row>
    <row r="216" spans="1:22" ht="12.75">
      <c r="A216" s="189"/>
      <c r="B216" s="160">
        <f t="shared" ca="1" si="79"/>
        <v>63</v>
      </c>
      <c r="C216" s="163" t="str">
        <f ca="1"/>
        <v>Uncommon</v>
      </c>
      <c r="D216" s="199">
        <f t="shared" ca="1" si="80"/>
        <v>34</v>
      </c>
      <c r="E216" s="162">
        <f ca="1"/>
        <v>3</v>
      </c>
      <c r="F216" s="162">
        <f ca="1"/>
        <v>5</v>
      </c>
      <c r="G216" s="162">
        <f ca="1"/>
        <v>-20</v>
      </c>
      <c r="H216" s="96" t="str">
        <f t="array" aca="1" ref="H216" ca="1">OFFSET(TypeLast,1-D216,0)</f>
        <v>Emerald</v>
      </c>
      <c r="I216" s="160">
        <f t="shared" ca="1" si="81"/>
        <v>19</v>
      </c>
      <c r="J216" s="183" t="str">
        <f ca="1"/>
        <v>Tiny</v>
      </c>
      <c r="K216" s="188">
        <f t="shared" ca="1" si="82"/>
        <v>27</v>
      </c>
      <c r="L216" s="163" t="str">
        <f ca="1"/>
        <v>Standard Grade</v>
      </c>
      <c r="M216" s="163" t="str">
        <f t="shared" ca="1" si="83"/>
        <v>Emerald (Tiny Standard Grade)</v>
      </c>
      <c r="N216" s="185">
        <f ca="1"/>
        <v>19</v>
      </c>
      <c r="P216" s="68">
        <f t="shared" ca="1" si="94"/>
        <v>3</v>
      </c>
      <c r="Q216" s="83">
        <v>1</v>
      </c>
      <c r="R216" s="32" t="str">
        <f t="shared" ca="1" si="95"/>
        <v>Sapphire (Medium Standard Grade)</v>
      </c>
      <c r="S216" s="146">
        <f t="shared" ca="1" si="96"/>
        <v>97</v>
      </c>
      <c r="T216">
        <f t="shared" ca="1" si="97"/>
        <v>2</v>
      </c>
      <c r="U216" s="81" t="str">
        <f t="shared" ca="1" si="98"/>
        <v>Empty Settings</v>
      </c>
      <c r="V216" s="201">
        <f t="shared" ca="1" si="99"/>
        <v>4.8500000000000005</v>
      </c>
    </row>
    <row r="217" spans="1:22" ht="12.75">
      <c r="A217" s="189"/>
      <c r="B217" s="160">
        <f t="shared" ca="1" si="79"/>
        <v>40</v>
      </c>
      <c r="C217" s="163" t="str">
        <f ca="1"/>
        <v>Common</v>
      </c>
      <c r="D217" s="199">
        <f t="shared" ca="1" si="80"/>
        <v>30</v>
      </c>
      <c r="E217" s="162">
        <f ca="1"/>
        <v>2</v>
      </c>
      <c r="F217" s="162">
        <f ca="1"/>
        <v>4</v>
      </c>
      <c r="G217" s="162">
        <f ca="1"/>
        <v>-20</v>
      </c>
      <c r="H217" s="96" t="str">
        <f t="array" aca="1" ref="H217" ca="1">OFFSET(TypeLast,1-D217,0)</f>
        <v>Aquamarine</v>
      </c>
      <c r="I217" s="160">
        <f t="shared" ca="1" si="81"/>
        <v>58</v>
      </c>
      <c r="J217" s="183" t="str">
        <f ca="1"/>
        <v>Small</v>
      </c>
      <c r="K217" s="188">
        <f t="shared" ca="1" si="82"/>
        <v>2</v>
      </c>
      <c r="L217" s="163" t="str">
        <f ca="1"/>
        <v>Inferior Grade</v>
      </c>
      <c r="M217" s="163" t="str">
        <f t="shared" ca="1" si="83"/>
        <v>Aquamarine (Small Inferior Grade)</v>
      </c>
      <c r="N217" s="185">
        <f ca="1"/>
        <v>4.3499999999999996</v>
      </c>
      <c r="P217" s="68">
        <f t="shared" ca="1" si="94"/>
        <v>2</v>
      </c>
      <c r="Q217" s="83">
        <v>1</v>
      </c>
      <c r="R217" s="32" t="str">
        <f t="shared" ca="1" si="95"/>
        <v>Amber (Small Superior Grade)</v>
      </c>
      <c r="S217" s="146">
        <f t="shared" ca="1" si="96"/>
        <v>96</v>
      </c>
      <c r="T217">
        <f t="shared" ca="1" si="97"/>
        <v>1</v>
      </c>
      <c r="U217" s="81" t="str">
        <f t="shared" ca="1" si="98"/>
        <v>Empty Setting</v>
      </c>
      <c r="V217" s="201">
        <f t="shared" ca="1" si="99"/>
        <v>4.8000000000000007</v>
      </c>
    </row>
    <row r="218" spans="1:22" ht="12.75">
      <c r="A218" s="190"/>
      <c r="B218" s="169">
        <f t="shared" ca="1" si="79"/>
        <v>43</v>
      </c>
      <c r="C218" s="166" t="str">
        <f ca="1"/>
        <v>Common</v>
      </c>
      <c r="D218" s="202">
        <f t="shared" ca="1" si="80"/>
        <v>21</v>
      </c>
      <c r="E218" s="164">
        <f ca="1"/>
        <v>2</v>
      </c>
      <c r="F218" s="164">
        <f ca="1"/>
        <v>3</v>
      </c>
      <c r="G218" s="164">
        <f ca="1"/>
        <v>-10</v>
      </c>
      <c r="H218" s="165" t="str">
        <f t="array" aca="1" ref="H218" ca="1">OFFSET(TypeLast,1-D218,0)</f>
        <v>Carnelian</v>
      </c>
      <c r="I218" s="169">
        <f t="shared" ca="1" si="81"/>
        <v>43</v>
      </c>
      <c r="J218" s="195" t="str">
        <f ca="1"/>
        <v>Tiny</v>
      </c>
      <c r="K218" s="196">
        <f t="shared" ca="1" si="82"/>
        <v>43</v>
      </c>
      <c r="L218" s="166" t="str">
        <f ca="1"/>
        <v>Standard Grade</v>
      </c>
      <c r="M218" s="166" t="str">
        <f t="shared" ca="1" si="83"/>
        <v>Carnelian (Tiny Standard Grade)</v>
      </c>
      <c r="N218" s="197">
        <f ca="1"/>
        <v>4.3</v>
      </c>
      <c r="P218" s="68">
        <f t="shared" ca="1" si="94"/>
        <v>3</v>
      </c>
      <c r="Q218" s="83">
        <v>0</v>
      </c>
      <c r="R218" s="32" t="str">
        <f t="shared" ca="1" si="95"/>
        <v>Ruby (Medium Standard Grade)</v>
      </c>
      <c r="S218" s="146">
        <f t="shared" ca="1" si="96"/>
        <v>91</v>
      </c>
      <c r="T218">
        <f t="shared" ca="1" si="97"/>
        <v>3</v>
      </c>
      <c r="U218" s="81" t="str">
        <f t="shared" ca="1" si="98"/>
        <v>Empty Settings</v>
      </c>
      <c r="V218" s="201">
        <f t="shared" ca="1" si="99"/>
        <v>4.55</v>
      </c>
    </row>
    <row r="219" spans="1:22" ht="12.75">
      <c r="P219" s="74">
        <f t="shared" ca="1" si="94"/>
        <v>2</v>
      </c>
      <c r="Q219" s="86">
        <v>1</v>
      </c>
      <c r="R219" s="39" t="str">
        <f t="shared" ca="1" si="95"/>
        <v>Onyx (Medium Standard Grade)</v>
      </c>
      <c r="S219" s="155">
        <f t="shared" ca="1" si="96"/>
        <v>86</v>
      </c>
      <c r="T219" s="38">
        <f t="shared" ca="1" si="97"/>
        <v>1</v>
      </c>
      <c r="U219" s="88" t="str">
        <f t="shared" ca="1" si="98"/>
        <v>Empty Setting</v>
      </c>
      <c r="V219" s="203">
        <f t="shared" ca="1" si="99"/>
        <v>4.3</v>
      </c>
    </row>
    <row r="220" spans="1:22" ht="12.75">
      <c r="K220" s="229" t="s">
        <v>247</v>
      </c>
      <c r="L220" s="214"/>
      <c r="M220" s="214"/>
      <c r="N220" s="215"/>
    </row>
    <row r="221" spans="1:22" ht="12.75">
      <c r="A221" s="43" t="s">
        <v>248</v>
      </c>
      <c r="B221" s="43" t="s">
        <v>84</v>
      </c>
      <c r="C221" s="43" t="s">
        <v>32</v>
      </c>
      <c r="D221" s="43" t="s">
        <v>249</v>
      </c>
      <c r="E221" s="43" t="s">
        <v>33</v>
      </c>
      <c r="F221" s="43" t="s">
        <v>110</v>
      </c>
      <c r="G221" s="43" t="s">
        <v>103</v>
      </c>
      <c r="H221" s="43" t="s">
        <v>99</v>
      </c>
      <c r="I221" s="43" t="s">
        <v>34</v>
      </c>
      <c r="K221" s="83">
        <f t="array" ref="K221:K226">E51:E56</f>
        <v>1</v>
      </c>
      <c r="L221" s="83" t="str">
        <f t="array" ref="L221:L226">C51:C56</f>
        <v>Loose</v>
      </c>
      <c r="M221" s="25" t="s">
        <v>250</v>
      </c>
      <c r="N221" s="81" t="s">
        <v>251</v>
      </c>
    </row>
    <row r="222" spans="1:22" ht="14.25">
      <c r="A222">
        <f t="shared" ref="A222:A262" ca="1" si="100">RANDBETWEEN(1,100)</f>
        <v>51</v>
      </c>
      <c r="B222" t="str">
        <f t="array" aca="1" ref="B222:B262" ca="1">VLOOKUP(A222:A262,K$221:L$226,2,TRUE)</f>
        <v>Plain</v>
      </c>
      <c r="C222" s="204" t="str">
        <f t="array" aca="1" ref="C222" ca="1">INDEX(INDIRECT(VLOOKUP($B222,$L$221:$N$226,2,FALSE)),COUNTIF($B$222:$B222,$B222),1)</f>
        <v>Splendid Copper Ring</v>
      </c>
      <c r="D222" t="str">
        <f t="shared" ref="D222:D262" ca="1" si="101">CONCATENATE(IF(F222&gt;0,CONCATENATE(F222," Gold"),""),IF(AND(G222&gt;0,F222&lt;100),CONCATENATE(IF(F222=0,"",", "),G222," Silver"),""),IF(AND(H222&gt;0,F222&lt;10),CONCATENATE(IF(AND(G222=0,F222=0),"",", "),H222," Copper"),""))</f>
        <v>1 Gold, 5 Silver</v>
      </c>
      <c r="E222" s="205">
        <f t="shared" ref="E222:E262" ca="1" si="102">IFERROR(INDEX(INDIRECT(VLOOKUP($B222,$L$221:$N$226,3,FALSE)),COUNTIF($B$222:$B222,$B222),1),0)</f>
        <v>1.5005999999999999</v>
      </c>
      <c r="F222">
        <f t="shared" ref="F222:F262" ca="1" si="103">ROUNDDOWN(E222,0)</f>
        <v>1</v>
      </c>
      <c r="G222">
        <f t="shared" ref="G222:G262" ca="1" si="104">ROUNDDOWN(E222-F222,1)*10</f>
        <v>5</v>
      </c>
      <c r="H222">
        <f t="shared" ref="H222:H262" ca="1" si="105">ROUND(E222-F222-G222/10,2)*100</f>
        <v>0</v>
      </c>
      <c r="I222" s="206">
        <f ca="1">IFERROR(__xludf.DUMMYFUNCTION("iferror( if(H222&gt;1000,1,if(H222&lt;500,max(min(randbetween(0,1)+randbetween(0,1),2),1),if(regexmatch(A222,""Loose""),max(min(randbetween(1,3)+randbetween(0,3)-3,5),1),if(H222&lt;100,randbetween(1,3),max(min(randbetween(1,5)+randbetween(1,5)-5,5),1))))),0)"),1)</f>
        <v>1</v>
      </c>
      <c r="K222" s="83">
        <f ca="1"/>
        <v>35</v>
      </c>
      <c r="L222" s="83" t="str">
        <v>Plain</v>
      </c>
      <c r="M222" s="81" t="s">
        <v>252</v>
      </c>
      <c r="N222" s="81" t="s">
        <v>253</v>
      </c>
    </row>
    <row r="223" spans="1:22" ht="14.25">
      <c r="A223">
        <f t="shared" ca="1" si="100"/>
        <v>19</v>
      </c>
      <c r="B223" t="str">
        <f ca="1"/>
        <v>Loose</v>
      </c>
      <c r="C223" s="204" t="str">
        <f t="shared" ref="C223:C262" ca="1" si="106">INDEX(INDIRECT(VLOOKUP(B223,L$221:M$226,2,FALSE)),COUNTIF(B$222:B223,B223),1)</f>
        <v>Loose Garnet (Medium Superior Grade)</v>
      </c>
      <c r="D223" t="str">
        <f t="shared" ca="1" si="101"/>
        <v>607 Gold</v>
      </c>
      <c r="E223" s="205">
        <f t="shared" ca="1" si="102"/>
        <v>607.5</v>
      </c>
      <c r="F223">
        <f t="shared" ca="1" si="103"/>
        <v>607</v>
      </c>
      <c r="G223">
        <f t="shared" ca="1" si="104"/>
        <v>5</v>
      </c>
      <c r="H223">
        <f t="shared" ca="1" si="105"/>
        <v>0</v>
      </c>
      <c r="I223" s="206">
        <f ca="1">IFERROR(__xludf.DUMMYFUNCTION("iferror( if(H223&gt;1000,1,if(H223&lt;500,max(min(randbetween(0,1)+randbetween(0,1),2),1),if(regexmatch(A223,""Loose""),max(min(randbetween(1,3)+randbetween(0,3)-3,5),1),if(H223&lt;100,randbetween(1,3),max(min(randbetween(1,5)+randbetween(1,5)-5,5),1))))),0)"),2)</f>
        <v>2</v>
      </c>
      <c r="K223" s="83">
        <f ca="1"/>
        <v>60</v>
      </c>
      <c r="L223" s="83" t="str">
        <v>Missing</v>
      </c>
      <c r="M223" s="81" t="s">
        <v>254</v>
      </c>
      <c r="N223" s="81" t="s">
        <v>255</v>
      </c>
    </row>
    <row r="224" spans="1:22" ht="14.25">
      <c r="A224">
        <f t="shared" ca="1" si="100"/>
        <v>19</v>
      </c>
      <c r="B224" t="str">
        <f ca="1"/>
        <v>Loose</v>
      </c>
      <c r="C224" s="204" t="str">
        <f t="shared" ca="1" si="106"/>
        <v>Loose Coral (Large Inferior Grade)</v>
      </c>
      <c r="D224" t="str">
        <f t="shared" ca="1" si="101"/>
        <v>1 Gold, 9 Copper</v>
      </c>
      <c r="E224" s="205">
        <f t="shared" ca="1" si="102"/>
        <v>1.0874999999999999</v>
      </c>
      <c r="F224">
        <f t="shared" ca="1" si="103"/>
        <v>1</v>
      </c>
      <c r="G224">
        <f t="shared" ca="1" si="104"/>
        <v>0</v>
      </c>
      <c r="H224">
        <f t="shared" ca="1" si="105"/>
        <v>9</v>
      </c>
      <c r="I224" s="206">
        <f ca="1">IFERROR(__xludf.DUMMYFUNCTION("iferror( if(H224&gt;1000,1,if(H224&lt;500,max(min(randbetween(0,1)+randbetween(0,1),2),1),if(regexmatch(A224,""Loose""),max(min(randbetween(1,3)+randbetween(0,3)-3,5),1),if(H224&lt;100,randbetween(1,3),max(min(randbetween(1,5)+randbetween(1,5)-5,5),1))))),0)"),1)</f>
        <v>1</v>
      </c>
      <c r="K224" s="83">
        <f ca="1"/>
        <v>61</v>
      </c>
      <c r="L224" s="83" t="str">
        <v>Set</v>
      </c>
      <c r="M224" s="81" t="s">
        <v>256</v>
      </c>
      <c r="N224" s="81" t="s">
        <v>257</v>
      </c>
    </row>
    <row r="225" spans="1:14" ht="14.25">
      <c r="A225">
        <f t="shared" ca="1" si="100"/>
        <v>43</v>
      </c>
      <c r="B225" t="str">
        <f ca="1"/>
        <v>Plain</v>
      </c>
      <c r="C225" s="204" t="str">
        <f t="shared" ca="1" si="106"/>
        <v>Unexceptional Bronze Pendant</v>
      </c>
      <c r="D225" t="str">
        <f t="shared" ca="1" si="101"/>
        <v>5 Silver</v>
      </c>
      <c r="E225" s="205">
        <f t="shared" ca="1" si="102"/>
        <v>0.50239999999999996</v>
      </c>
      <c r="F225">
        <f t="shared" ca="1" si="103"/>
        <v>0</v>
      </c>
      <c r="G225">
        <f t="shared" ca="1" si="104"/>
        <v>5</v>
      </c>
      <c r="H225">
        <f t="shared" ca="1" si="105"/>
        <v>0</v>
      </c>
      <c r="I225" s="206">
        <f ca="1">IFERROR(__xludf.DUMMYFUNCTION("iferror( if(H225&gt;1000,1,if(H225&lt;500,max(min(randbetween(0,1)+randbetween(0,1),2),1),if(regexmatch(A225,""Loose""),max(min(randbetween(1,3)+randbetween(0,3)-3,5),1),if(H225&lt;100,randbetween(1,3),max(min(randbetween(1,5)+randbetween(1,5)-5,5),1))))),0)"),1)</f>
        <v>1</v>
      </c>
      <c r="K225" s="83">
        <f ca="1"/>
        <v>86</v>
      </c>
      <c r="L225" s="83" t="str">
        <v>Multi Set</v>
      </c>
      <c r="M225" s="81" t="s">
        <v>258</v>
      </c>
      <c r="N225" s="81" t="s">
        <v>259</v>
      </c>
    </row>
    <row r="226" spans="1:14" ht="14.25">
      <c r="A226">
        <f t="shared" ca="1" si="100"/>
        <v>30</v>
      </c>
      <c r="B226" t="str">
        <f ca="1"/>
        <v>Loose</v>
      </c>
      <c r="C226" s="204" t="str">
        <f t="shared" ca="1" si="106"/>
        <v>Loose Jet (Medium Standard Grade)</v>
      </c>
      <c r="D226" t="str">
        <f t="shared" ca="1" si="101"/>
        <v>95 Gold</v>
      </c>
      <c r="E226" s="205">
        <f t="shared" ca="1" si="102"/>
        <v>95</v>
      </c>
      <c r="F226">
        <f t="shared" ca="1" si="103"/>
        <v>95</v>
      </c>
      <c r="G226">
        <f t="shared" ca="1" si="104"/>
        <v>0</v>
      </c>
      <c r="H226">
        <f t="shared" ca="1" si="105"/>
        <v>0</v>
      </c>
      <c r="I226" s="206">
        <f ca="1">IFERROR(__xludf.DUMMYFUNCTION("iferror( if(H226&gt;1000,1,if(H226&lt;500,max(min(randbetween(0,1)+randbetween(0,1),2),1),if(regexmatch(A226,""Loose""),max(min(randbetween(1,3)+randbetween(0,3)-3,5),1),if(H226&lt;100,randbetween(1,3),max(min(randbetween(1,5)+randbetween(1,5)-5,5),1))))),0)"),1)</f>
        <v>1</v>
      </c>
      <c r="K226" s="86">
        <f ca="1"/>
        <v>96</v>
      </c>
      <c r="L226" s="86" t="str">
        <v>Ext. Set</v>
      </c>
      <c r="M226" s="88" t="s">
        <v>260</v>
      </c>
      <c r="N226" s="88" t="s">
        <v>261</v>
      </c>
    </row>
    <row r="227" spans="1:14" ht="14.25">
      <c r="A227">
        <f t="shared" ca="1" si="100"/>
        <v>12</v>
      </c>
      <c r="B227" t="str">
        <f ca="1"/>
        <v>Loose</v>
      </c>
      <c r="C227" s="204" t="str">
        <f t="shared" ca="1" si="106"/>
        <v>Loose Emerald (Tiny Inferior Grade)</v>
      </c>
      <c r="D227" t="str">
        <f t="shared" ca="1" si="101"/>
        <v>30 Gold, 7 Silver</v>
      </c>
      <c r="E227" s="205">
        <f t="shared" ca="1" si="102"/>
        <v>30.75</v>
      </c>
      <c r="F227">
        <f t="shared" ca="1" si="103"/>
        <v>30</v>
      </c>
      <c r="G227">
        <f t="shared" ca="1" si="104"/>
        <v>7</v>
      </c>
      <c r="H227">
        <f t="shared" ca="1" si="105"/>
        <v>5</v>
      </c>
      <c r="I227" s="206">
        <f ca="1">IFERROR(__xludf.DUMMYFUNCTION("iferror( if(H227&gt;1000,1,if(H227&lt;500,max(min(randbetween(0,1)+randbetween(0,1),2),1),if(regexmatch(A227,""Loose""),max(min(randbetween(1,3)+randbetween(0,3)-3,5),1),if(H227&lt;100,randbetween(1,3),max(min(randbetween(1,5)+randbetween(1,5)-5,5),1))))),0)"),2)</f>
        <v>2</v>
      </c>
    </row>
    <row r="228" spans="1:14" ht="14.25">
      <c r="A228">
        <f t="shared" ca="1" si="100"/>
        <v>60</v>
      </c>
      <c r="B228" t="str">
        <f ca="1"/>
        <v>Missing</v>
      </c>
      <c r="C228" s="204" t="str">
        <f t="shared" ca="1" si="106"/>
        <v>Unexceptional Silver Serving Spoon with 2 Empty Settings</v>
      </c>
      <c r="D228" t="str">
        <f t="shared" ca="1" si="101"/>
        <v>813 Gold</v>
      </c>
      <c r="E228" s="205">
        <f t="shared" ca="1" si="102"/>
        <v>813.75000000000011</v>
      </c>
      <c r="F228">
        <f t="shared" ca="1" si="103"/>
        <v>813</v>
      </c>
      <c r="G228">
        <f t="shared" ca="1" si="104"/>
        <v>7</v>
      </c>
      <c r="H228">
        <f t="shared" ca="1" si="105"/>
        <v>5</v>
      </c>
      <c r="I228" s="206">
        <f ca="1">IFERROR(__xludf.DUMMYFUNCTION("iferror( if(H228&gt;1000,1,if(H228&lt;500,max(min(randbetween(0,1)+randbetween(0,1),2),1),if(regexmatch(A228,""Loose""),max(min(randbetween(1,3)+randbetween(0,3)-3,5),1),if(H228&lt;100,randbetween(1,3),max(min(randbetween(1,5)+randbetween(1,5)-5,5),1))))),0)"),1)</f>
        <v>1</v>
      </c>
    </row>
    <row r="229" spans="1:14" ht="14.25">
      <c r="A229">
        <f t="shared" ca="1" si="100"/>
        <v>56</v>
      </c>
      <c r="B229" t="str">
        <f ca="1"/>
        <v>Plain</v>
      </c>
      <c r="C229" s="204" t="str">
        <f t="shared" ca="1" si="106"/>
        <v>Fair Wood/Leather Pendant</v>
      </c>
      <c r="D229" t="str">
        <f t="shared" ca="1" si="101"/>
        <v>1 Gold</v>
      </c>
      <c r="E229" s="205">
        <f t="shared" ca="1" si="102"/>
        <v>1.0009999999999999</v>
      </c>
      <c r="F229">
        <f t="shared" ca="1" si="103"/>
        <v>1</v>
      </c>
      <c r="G229">
        <f t="shared" ca="1" si="104"/>
        <v>0</v>
      </c>
      <c r="H229">
        <f t="shared" ca="1" si="105"/>
        <v>0</v>
      </c>
      <c r="I229" s="206">
        <f ca="1">IFERROR(__xludf.DUMMYFUNCTION("iferror( if(H229&gt;1000,1,if(H229&lt;500,max(min(randbetween(0,1)+randbetween(0,1),2),1),if(regexmatch(A229,""Loose""),max(min(randbetween(1,3)+randbetween(0,3)-3,5),1),if(H229&lt;100,randbetween(1,3),max(min(randbetween(1,5)+randbetween(1,5)-5,5),1))))),0)"),1)</f>
        <v>1</v>
      </c>
    </row>
    <row r="230" spans="1:14" ht="14.25">
      <c r="A230">
        <f t="shared" ca="1" si="100"/>
        <v>34</v>
      </c>
      <c r="B230" t="str">
        <f ca="1"/>
        <v>Loose</v>
      </c>
      <c r="C230" s="204" t="str">
        <f t="shared" ca="1" si="106"/>
        <v>Loose Hematite (Large Standard Grade)</v>
      </c>
      <c r="D230" t="str">
        <f t="shared" ca="1" si="101"/>
        <v>14 Gold, 1 Silver</v>
      </c>
      <c r="E230" s="205">
        <f t="shared" ca="1" si="102"/>
        <v>14.2</v>
      </c>
      <c r="F230">
        <f t="shared" ca="1" si="103"/>
        <v>14</v>
      </c>
      <c r="G230">
        <f t="shared" ca="1" si="104"/>
        <v>1</v>
      </c>
      <c r="H230">
        <f t="shared" ca="1" si="105"/>
        <v>10</v>
      </c>
      <c r="I230" s="206">
        <f ca="1">IFERROR(__xludf.DUMMYFUNCTION("iferror( if(H230&gt;1000,1,if(H230&lt;500,max(min(randbetween(0,1)+randbetween(0,1),2),1),if(regexmatch(A230,""Loose""),max(min(randbetween(1,3)+randbetween(0,3)-3,5),1),if(H230&lt;100,randbetween(1,3),max(min(randbetween(1,5)+randbetween(1,5)-5,5),1))))),0)"),1)</f>
        <v>1</v>
      </c>
    </row>
    <row r="231" spans="1:14" ht="14.25">
      <c r="A231">
        <f t="shared" ca="1" si="100"/>
        <v>14</v>
      </c>
      <c r="B231" t="str">
        <f ca="1"/>
        <v>Loose</v>
      </c>
      <c r="C231" s="204" t="str">
        <f t="shared" ca="1" si="106"/>
        <v>Loose Ruby (Large Raw)</v>
      </c>
      <c r="D231" t="str">
        <f t="shared" ca="1" si="101"/>
        <v>332 Gold</v>
      </c>
      <c r="E231" s="205">
        <f t="shared" ca="1" si="102"/>
        <v>332.5</v>
      </c>
      <c r="F231">
        <f t="shared" ca="1" si="103"/>
        <v>332</v>
      </c>
      <c r="G231">
        <f t="shared" ca="1" si="104"/>
        <v>5</v>
      </c>
      <c r="H231">
        <f t="shared" ca="1" si="105"/>
        <v>0</v>
      </c>
      <c r="I231" s="206">
        <f ca="1">IFERROR(__xludf.DUMMYFUNCTION("iferror( if(H231&gt;1000,1,if(H231&lt;500,max(min(randbetween(0,1)+randbetween(0,1),2),1),if(regexmatch(A231,""Loose""),max(min(randbetween(1,3)+randbetween(0,3)-3,5),1),if(H231&lt;100,randbetween(1,3),max(min(randbetween(1,5)+randbetween(1,5)-5,5),1))))),0)"),1)</f>
        <v>1</v>
      </c>
    </row>
    <row r="232" spans="1:14" ht="14.25">
      <c r="A232">
        <f t="shared" ca="1" si="100"/>
        <v>24</v>
      </c>
      <c r="B232" t="str">
        <f ca="1"/>
        <v>Loose</v>
      </c>
      <c r="C232" s="204" t="str">
        <f t="shared" ca="1" si="106"/>
        <v>Loose Emerald (Medium Standard Grade)</v>
      </c>
      <c r="D232" t="str">
        <f t="shared" ca="1" si="101"/>
        <v>8 Gold</v>
      </c>
      <c r="E232" s="205">
        <f t="shared" ca="1" si="102"/>
        <v>8</v>
      </c>
      <c r="F232">
        <f t="shared" ca="1" si="103"/>
        <v>8</v>
      </c>
      <c r="G232">
        <f t="shared" ca="1" si="104"/>
        <v>0</v>
      </c>
      <c r="H232">
        <f t="shared" ca="1" si="105"/>
        <v>0</v>
      </c>
      <c r="I232" s="206">
        <f ca="1">IFERROR(__xludf.DUMMYFUNCTION("iferror( if(H232&gt;1000,1,if(H232&lt;500,max(min(randbetween(0,1)+randbetween(0,1),2),1),if(regexmatch(A232,""Loose""),max(min(randbetween(1,3)+randbetween(0,3)-3,5),1),if(H232&lt;100,randbetween(1,3),max(min(randbetween(1,5)+randbetween(1,5)-5,5),1))))),0)"),1)</f>
        <v>1</v>
      </c>
    </row>
    <row r="233" spans="1:14" ht="14.25">
      <c r="A233">
        <f t="shared" ca="1" si="100"/>
        <v>36</v>
      </c>
      <c r="B233" t="str">
        <f ca="1"/>
        <v>Plain</v>
      </c>
      <c r="C233" s="204" t="str">
        <f t="shared" ca="1" si="106"/>
        <v>Ordinary Electrum Tankard</v>
      </c>
      <c r="D233" t="str">
        <f t="shared" ca="1" si="101"/>
        <v>30 Gold, 7 Silver</v>
      </c>
      <c r="E233" s="205">
        <f t="shared" ca="1" si="102"/>
        <v>30.75</v>
      </c>
      <c r="F233">
        <f t="shared" ca="1" si="103"/>
        <v>30</v>
      </c>
      <c r="G233">
        <f t="shared" ca="1" si="104"/>
        <v>7</v>
      </c>
      <c r="H233">
        <f t="shared" ca="1" si="105"/>
        <v>5</v>
      </c>
      <c r="I233" s="206">
        <f ca="1">IFERROR(__xludf.DUMMYFUNCTION("iferror( if(H233&gt;1000,1,if(H233&lt;500,max(min(randbetween(0,1)+randbetween(0,1),2),1),if(regexmatch(A233,""Loose""),max(min(randbetween(1,3)+randbetween(0,3)-3,5),1),if(H233&lt;100,randbetween(1,3),max(min(randbetween(1,5)+randbetween(1,5)-5,5),1))))),0)"),1)</f>
        <v>1</v>
      </c>
    </row>
    <row r="234" spans="1:14" ht="14.25">
      <c r="A234">
        <f t="shared" ca="1" si="100"/>
        <v>72</v>
      </c>
      <c r="B234" t="str">
        <f ca="1"/>
        <v>Set</v>
      </c>
      <c r="C234" s="204" t="str">
        <f t="shared" ca="1" si="106"/>
        <v>Extraordinary Gold Necklace, set with Opal (Huge Superior Grade)</v>
      </c>
      <c r="D234" t="str">
        <f t="shared" ca="1" si="101"/>
        <v>2332 Gold</v>
      </c>
      <c r="E234" s="205">
        <f t="shared" ca="1" si="102"/>
        <v>2332.35</v>
      </c>
      <c r="F234">
        <f t="shared" ca="1" si="103"/>
        <v>2332</v>
      </c>
      <c r="G234">
        <f t="shared" ca="1" si="104"/>
        <v>3</v>
      </c>
      <c r="H234">
        <f t="shared" ca="1" si="105"/>
        <v>5</v>
      </c>
      <c r="I234" s="206">
        <f ca="1">IFERROR(__xludf.DUMMYFUNCTION("iferror( if(H234&gt;1000,1,if(H234&lt;500,max(min(randbetween(0,1)+randbetween(0,1),2),1),if(regexmatch(A234,""Loose""),max(min(randbetween(1,3)+randbetween(0,3)-3,5),1),if(H234&lt;100,randbetween(1,3),max(min(randbetween(1,5)+randbetween(1,5)-5,5),1))))),0)"),1)</f>
        <v>1</v>
      </c>
    </row>
    <row r="235" spans="1:14" ht="14.25">
      <c r="A235">
        <f t="shared" ca="1" si="100"/>
        <v>19</v>
      </c>
      <c r="B235" t="str">
        <f ca="1"/>
        <v>Loose</v>
      </c>
      <c r="C235" s="204" t="str">
        <f t="shared" ca="1" si="106"/>
        <v>Loose Turquoise (Medium Raw)</v>
      </c>
      <c r="D235" t="str">
        <f t="shared" ca="1" si="101"/>
        <v>4 Silver, 8 Copper</v>
      </c>
      <c r="E235" s="205">
        <f t="shared" ca="1" si="102"/>
        <v>0.47500000000000003</v>
      </c>
      <c r="F235">
        <f t="shared" ca="1" si="103"/>
        <v>0</v>
      </c>
      <c r="G235">
        <f t="shared" ca="1" si="104"/>
        <v>4</v>
      </c>
      <c r="H235">
        <f t="shared" ca="1" si="105"/>
        <v>8</v>
      </c>
      <c r="I235" s="206">
        <f ca="1">IFERROR(__xludf.DUMMYFUNCTION("iferror( if(H235&gt;1000,1,if(H235&lt;500,max(min(randbetween(0,1)+randbetween(0,1),2),1),if(regexmatch(A235,""Loose""),max(min(randbetween(1,3)+randbetween(0,3)-3,5),1),if(H235&lt;100,randbetween(1,3),max(min(randbetween(1,5)+randbetween(1,5)-5,5),1))))),0)"),1)</f>
        <v>1</v>
      </c>
    </row>
    <row r="236" spans="1:14" ht="14.25">
      <c r="A236">
        <f t="shared" ca="1" si="100"/>
        <v>42</v>
      </c>
      <c r="B236" t="str">
        <f ca="1"/>
        <v>Plain</v>
      </c>
      <c r="C236" s="204" t="str">
        <f t="shared" ca="1" si="106"/>
        <v>Splendid Bronze Tankard</v>
      </c>
      <c r="D236" t="str">
        <f t="shared" ca="1" si="101"/>
        <v>2 Gold, 7 Silver, 3 Copper</v>
      </c>
      <c r="E236" s="205">
        <f t="shared" ca="1" si="102"/>
        <v>2.73</v>
      </c>
      <c r="F236">
        <f t="shared" ca="1" si="103"/>
        <v>2</v>
      </c>
      <c r="G236">
        <f t="shared" ca="1" si="104"/>
        <v>7</v>
      </c>
      <c r="H236">
        <f t="shared" ca="1" si="105"/>
        <v>3</v>
      </c>
      <c r="I236" s="206">
        <f ca="1">IFERROR(__xludf.DUMMYFUNCTION("iferror( if(H236&gt;1000,1,if(H236&lt;500,max(min(randbetween(0,1)+randbetween(0,1),2),1),if(regexmatch(A236,""Loose""),max(min(randbetween(1,3)+randbetween(0,3)-3,5),1),if(H236&lt;100,randbetween(1,3),max(min(randbetween(1,5)+randbetween(1,5)-5,5),1))))),0)"),1)</f>
        <v>1</v>
      </c>
    </row>
    <row r="237" spans="1:14" ht="14.25">
      <c r="A237">
        <f t="shared" ca="1" si="100"/>
        <v>29</v>
      </c>
      <c r="B237" t="str">
        <f ca="1"/>
        <v>Loose</v>
      </c>
      <c r="C237" s="204" t="str">
        <f t="shared" ca="1" si="106"/>
        <v>Loose Bloodstone (Medium Inferior Grade)</v>
      </c>
      <c r="D237" t="str">
        <f t="shared" ca="1" si="101"/>
        <v>6 Silver, 2 Copper</v>
      </c>
      <c r="E237" s="205">
        <f t="shared" ca="1" si="102"/>
        <v>0.61499999999999999</v>
      </c>
      <c r="F237">
        <f t="shared" ca="1" si="103"/>
        <v>0</v>
      </c>
      <c r="G237">
        <f t="shared" ca="1" si="104"/>
        <v>6</v>
      </c>
      <c r="H237">
        <f t="shared" ca="1" si="105"/>
        <v>2</v>
      </c>
      <c r="I237" s="206">
        <f ca="1">IFERROR(__xludf.DUMMYFUNCTION("iferror( if(H237&gt;1000,1,if(H237&lt;500,max(min(randbetween(0,1)+randbetween(0,1),2),1),if(regexmatch(A237,""Loose""),max(min(randbetween(1,3)+randbetween(0,3)-3,5),1),if(H237&lt;100,randbetween(1,3),max(min(randbetween(1,5)+randbetween(1,5)-5,5),1))))),0)"),1)</f>
        <v>1</v>
      </c>
    </row>
    <row r="238" spans="1:14" ht="14.25">
      <c r="A238">
        <f t="shared" ca="1" si="100"/>
        <v>98</v>
      </c>
      <c r="B238" t="str">
        <f ca="1"/>
        <v>Ext. Set</v>
      </c>
      <c r="C238" s="204" t="str">
        <f t="shared" ca="1" si="106"/>
        <v>Magnificient Copper Tiara, set with 3 Black Opal (Large Flawless) and 15 Ruby (Medium Standard Grade)</v>
      </c>
      <c r="D238" t="str">
        <f t="shared" ca="1" si="101"/>
        <v>43369 Gold</v>
      </c>
      <c r="E238" s="205">
        <f t="shared" ca="1" si="102"/>
        <v>43369.80000000001</v>
      </c>
      <c r="F238">
        <f t="shared" ca="1" si="103"/>
        <v>43369</v>
      </c>
      <c r="G238">
        <f t="shared" ca="1" si="104"/>
        <v>8</v>
      </c>
      <c r="H238">
        <f t="shared" ca="1" si="105"/>
        <v>0</v>
      </c>
      <c r="I238" s="206">
        <f ca="1">IFERROR(__xludf.DUMMYFUNCTION("iferror( if(H238&gt;1000,1,if(H238&lt;500,max(min(randbetween(0,1)+randbetween(0,1),2),1),if(regexmatch(A238,""Loose""),max(min(randbetween(1,3)+randbetween(0,3)-3,5),1),if(H238&lt;100,randbetween(1,3),max(min(randbetween(1,5)+randbetween(1,5)-5,5),1))))),0)"),1)</f>
        <v>1</v>
      </c>
    </row>
    <row r="239" spans="1:14" ht="14.25">
      <c r="A239">
        <f t="shared" ca="1" si="100"/>
        <v>62</v>
      </c>
      <c r="B239" t="str">
        <f ca="1"/>
        <v>Set</v>
      </c>
      <c r="C239" s="204" t="str">
        <f t="shared" ca="1" si="106"/>
        <v>Fair Electrum Bracelet, set with Opal (Medium Inferior Grade)</v>
      </c>
      <c r="D239" t="str">
        <f t="shared" ca="1" si="101"/>
        <v>315 Gold</v>
      </c>
      <c r="E239" s="205">
        <f t="shared" ca="1" si="102"/>
        <v>315.25000000000006</v>
      </c>
      <c r="F239">
        <f t="shared" ca="1" si="103"/>
        <v>315</v>
      </c>
      <c r="G239">
        <f t="shared" ca="1" si="104"/>
        <v>2</v>
      </c>
      <c r="H239">
        <f t="shared" ca="1" si="105"/>
        <v>5</v>
      </c>
      <c r="I239" s="206">
        <f ca="1">IFERROR(__xludf.DUMMYFUNCTION("iferror( if(H239&gt;1000,1,if(H239&lt;500,max(min(randbetween(0,1)+randbetween(0,1),2),1),if(regexmatch(A239,""Loose""),max(min(randbetween(1,3)+randbetween(0,3)-3,5),1),if(H239&lt;100,randbetween(1,3),max(min(randbetween(1,5)+randbetween(1,5)-5,5),1))))),0)"),2)</f>
        <v>2</v>
      </c>
    </row>
    <row r="240" spans="1:14" ht="14.25">
      <c r="A240">
        <f t="shared" ca="1" si="100"/>
        <v>72</v>
      </c>
      <c r="B240" t="str">
        <f ca="1"/>
        <v>Set</v>
      </c>
      <c r="C240" s="204" t="str">
        <f t="shared" ca="1" si="106"/>
        <v>Fair Electrum Ring, set with Ruby (Large Inferior Grade)</v>
      </c>
      <c r="D240" t="str">
        <f t="shared" ca="1" si="101"/>
        <v>991 Gold</v>
      </c>
      <c r="E240" s="205">
        <f t="shared" ca="1" si="102"/>
        <v>991.03</v>
      </c>
      <c r="F240">
        <f t="shared" ca="1" si="103"/>
        <v>991</v>
      </c>
      <c r="G240">
        <f t="shared" ca="1" si="104"/>
        <v>0</v>
      </c>
      <c r="H240">
        <f t="shared" ca="1" si="105"/>
        <v>3</v>
      </c>
      <c r="I240" s="206">
        <f ca="1">IFERROR(__xludf.DUMMYFUNCTION("iferror( if(H240&gt;1000,1,if(H240&lt;500,max(min(randbetween(0,1)+randbetween(0,1),2),1),if(regexmatch(A240,""Loose""),max(min(randbetween(1,3)+randbetween(0,3)-3,5),1),if(H240&lt;100,randbetween(1,3),max(min(randbetween(1,5)+randbetween(1,5)-5,5),1))))),0)"),1)</f>
        <v>1</v>
      </c>
    </row>
    <row r="241" spans="1:9" ht="14.25">
      <c r="A241">
        <f t="shared" ca="1" si="100"/>
        <v>60</v>
      </c>
      <c r="B241" t="str">
        <f ca="1"/>
        <v>Missing</v>
      </c>
      <c r="C241" s="204" t="str">
        <f t="shared" ca="1" si="106"/>
        <v>Unexceptional Electrum Earrings with 2 Empty Settings, Pair</v>
      </c>
      <c r="D241" t="str">
        <f t="shared" ca="1" si="101"/>
        <v>267 Gold</v>
      </c>
      <c r="E241" s="205">
        <f t="shared" ca="1" si="102"/>
        <v>267.56</v>
      </c>
      <c r="F241">
        <f t="shared" ca="1" si="103"/>
        <v>267</v>
      </c>
      <c r="G241">
        <f t="shared" ca="1" si="104"/>
        <v>5</v>
      </c>
      <c r="H241">
        <f t="shared" ca="1" si="105"/>
        <v>6</v>
      </c>
      <c r="I241" s="206">
        <f ca="1">IFERROR(__xludf.DUMMYFUNCTION("iferror( if(H241&gt;1000,1,if(H241&lt;500,max(min(randbetween(0,1)+randbetween(0,1),2),1),if(regexmatch(A241,""Loose""),max(min(randbetween(1,3)+randbetween(0,3)-3,5),1),if(H241&lt;100,randbetween(1,3),max(min(randbetween(1,5)+randbetween(1,5)-5,5),1))))),0)"),2)</f>
        <v>2</v>
      </c>
    </row>
    <row r="242" spans="1:9" ht="14.25">
      <c r="A242">
        <f t="shared" ca="1" si="100"/>
        <v>64</v>
      </c>
      <c r="B242" t="str">
        <f ca="1"/>
        <v>Set</v>
      </c>
      <c r="C242" s="204" t="str">
        <f t="shared" ca="1" si="106"/>
        <v>Fashionable Steel Flask, set with Moonstone (Large Standard Grade)</v>
      </c>
      <c r="D242" t="str">
        <f t="shared" ca="1" si="101"/>
        <v>17 Gold, 5 Silver</v>
      </c>
      <c r="E242" s="205">
        <f t="shared" ca="1" si="102"/>
        <v>17.587499999999999</v>
      </c>
      <c r="F242">
        <f t="shared" ca="1" si="103"/>
        <v>17</v>
      </c>
      <c r="G242">
        <f t="shared" ca="1" si="104"/>
        <v>5</v>
      </c>
      <c r="H242">
        <f t="shared" ca="1" si="105"/>
        <v>9</v>
      </c>
      <c r="I242" s="206">
        <f ca="1">IFERROR(__xludf.DUMMYFUNCTION("iferror( if(H242&gt;1000,1,if(H242&lt;500,max(min(randbetween(0,1)+randbetween(0,1),2),1),if(regexmatch(A242,""Loose""),max(min(randbetween(1,3)+randbetween(0,3)-3,5),1),if(H242&lt;100,randbetween(1,3),max(min(randbetween(1,5)+randbetween(1,5)-5,5),1))))),0)"),2)</f>
        <v>2</v>
      </c>
    </row>
    <row r="243" spans="1:9" ht="14.25">
      <c r="A243">
        <f t="shared" ca="1" si="100"/>
        <v>1</v>
      </c>
      <c r="B243" t="str">
        <f ca="1"/>
        <v>Loose</v>
      </c>
      <c r="C243" s="204" t="str">
        <f t="shared" ca="1" si="106"/>
        <v>Loose Obsidian (Large Inferior Grade)</v>
      </c>
      <c r="D243" t="str">
        <f t="shared" ca="1" si="101"/>
        <v>1 Gold, 9 Copper</v>
      </c>
      <c r="E243" s="205">
        <f t="shared" ca="1" si="102"/>
        <v>1.0874999999999999</v>
      </c>
      <c r="F243">
        <f t="shared" ca="1" si="103"/>
        <v>1</v>
      </c>
      <c r="G243">
        <f t="shared" ca="1" si="104"/>
        <v>0</v>
      </c>
      <c r="H243">
        <f t="shared" ca="1" si="105"/>
        <v>9</v>
      </c>
      <c r="I243" s="206">
        <f ca="1">IFERROR(__xludf.DUMMYFUNCTION("iferror( if(H243&gt;1000,1,if(H243&lt;500,max(min(randbetween(0,1)+randbetween(0,1),2),1),if(regexmatch(A243,""Loose""),max(min(randbetween(1,3)+randbetween(0,3)-3,5),1),if(H243&lt;100,randbetween(1,3),max(min(randbetween(1,5)+randbetween(1,5)-5,5),1))))),0)"),2)</f>
        <v>2</v>
      </c>
    </row>
    <row r="244" spans="1:9" ht="14.25">
      <c r="A244">
        <f t="shared" ca="1" si="100"/>
        <v>16</v>
      </c>
      <c r="B244" t="str">
        <f ca="1"/>
        <v>Loose</v>
      </c>
      <c r="C244" s="204" t="str">
        <f t="shared" ca="1" si="106"/>
        <v>Loose Moonstone (Tiny Inferior Grade)</v>
      </c>
      <c r="D244" t="str">
        <f t="shared" ca="1" si="101"/>
        <v>1 Gold, 7 Silver, 3 Copper</v>
      </c>
      <c r="E244" s="205">
        <f t="shared" ca="1" si="102"/>
        <v>1.7250000000000001</v>
      </c>
      <c r="F244">
        <f t="shared" ca="1" si="103"/>
        <v>1</v>
      </c>
      <c r="G244">
        <f t="shared" ca="1" si="104"/>
        <v>7</v>
      </c>
      <c r="H244">
        <f t="shared" ca="1" si="105"/>
        <v>3</v>
      </c>
      <c r="I244" s="206">
        <f ca="1">IFERROR(__xludf.DUMMYFUNCTION("iferror( if(H244&gt;1000,1,if(H244&lt;500,max(min(randbetween(0,1)+randbetween(0,1),2),1),if(regexmatch(A244,""Loose""),max(min(randbetween(1,3)+randbetween(0,3)-3,5),1),if(H244&lt;100,randbetween(1,3),max(min(randbetween(1,5)+randbetween(1,5)-5,5),1))))),0)"),1)</f>
        <v>1</v>
      </c>
    </row>
    <row r="245" spans="1:9" ht="14.25">
      <c r="A245">
        <f t="shared" ca="1" si="100"/>
        <v>19</v>
      </c>
      <c r="B245" t="str">
        <f ca="1"/>
        <v>Loose</v>
      </c>
      <c r="C245" s="204" t="str">
        <f t="shared" ca="1" si="106"/>
        <v>Loose Pearl (Tiny Standard Grade)</v>
      </c>
      <c r="D245" t="str">
        <f t="shared" ca="1" si="101"/>
        <v>26 Gold</v>
      </c>
      <c r="E245" s="205">
        <f t="shared" ca="1" si="102"/>
        <v>26</v>
      </c>
      <c r="F245">
        <f t="shared" ca="1" si="103"/>
        <v>26</v>
      </c>
      <c r="G245">
        <f t="shared" ca="1" si="104"/>
        <v>0</v>
      </c>
      <c r="H245">
        <f t="shared" ca="1" si="105"/>
        <v>0</v>
      </c>
      <c r="I245" s="206">
        <f ca="1">IFERROR(__xludf.DUMMYFUNCTION("iferror( if(H245&gt;1000,1,if(H245&lt;500,max(min(randbetween(0,1)+randbetween(0,1),2),1),if(regexmatch(A245,""Loose""),max(min(randbetween(1,3)+randbetween(0,3)-3,5),1),if(H245&lt;100,randbetween(1,3),max(min(randbetween(1,5)+randbetween(1,5)-5,5),1))))),0)"),1)</f>
        <v>1</v>
      </c>
    </row>
    <row r="246" spans="1:9" ht="14.25">
      <c r="A246">
        <f t="shared" ca="1" si="100"/>
        <v>26</v>
      </c>
      <c r="B246" t="str">
        <f ca="1"/>
        <v>Loose</v>
      </c>
      <c r="C246" s="204" t="str">
        <f t="shared" ca="1" si="106"/>
        <v>Loose Sardonyx (Small Standard Grade)</v>
      </c>
      <c r="D246" t="str">
        <f t="shared" ca="1" si="101"/>
        <v>6 Silver, 5 Copper</v>
      </c>
      <c r="E246" s="205">
        <f t="shared" ca="1" si="102"/>
        <v>0.65</v>
      </c>
      <c r="F246">
        <f t="shared" ca="1" si="103"/>
        <v>0</v>
      </c>
      <c r="G246">
        <f t="shared" ca="1" si="104"/>
        <v>6</v>
      </c>
      <c r="H246">
        <f t="shared" ca="1" si="105"/>
        <v>5</v>
      </c>
      <c r="I246" s="206">
        <f ca="1">IFERROR(__xludf.DUMMYFUNCTION("iferror( if(H246&gt;1000,1,if(H246&lt;500,max(min(randbetween(0,1)+randbetween(0,1),2),1),if(regexmatch(A246,""Loose""),max(min(randbetween(1,3)+randbetween(0,3)-3,5),1),if(H246&lt;100,randbetween(1,3),max(min(randbetween(1,5)+randbetween(1,5)-5,5),1))))),0)"),1)</f>
        <v>1</v>
      </c>
    </row>
    <row r="247" spans="1:9" ht="14.25">
      <c r="A247">
        <f t="shared" ca="1" si="100"/>
        <v>60</v>
      </c>
      <c r="B247" t="str">
        <f ca="1"/>
        <v>Missing</v>
      </c>
      <c r="C247" s="204" t="str">
        <f t="shared" ca="1" si="106"/>
        <v>Tacky Steel Ring with 2 Empty Settings</v>
      </c>
      <c r="D247" t="str">
        <f t="shared" ca="1" si="101"/>
        <v>80 Gold, 1 Silver</v>
      </c>
      <c r="E247" s="205">
        <f t="shared" ca="1" si="102"/>
        <v>80.160375000000002</v>
      </c>
      <c r="F247">
        <f t="shared" ca="1" si="103"/>
        <v>80</v>
      </c>
      <c r="G247">
        <f t="shared" ca="1" si="104"/>
        <v>1</v>
      </c>
      <c r="H247">
        <f t="shared" ca="1" si="105"/>
        <v>6</v>
      </c>
      <c r="I247" s="206">
        <f ca="1">IFERROR(__xludf.DUMMYFUNCTION("iferror( if(H247&gt;1000,1,if(H247&lt;500,max(min(randbetween(0,1)+randbetween(0,1),2),1),if(regexmatch(A247,""Loose""),max(min(randbetween(1,3)+randbetween(0,3)-3,5),1),if(H247&lt;100,randbetween(1,3),max(min(randbetween(1,5)+randbetween(1,5)-5,5),1))))),0)"),1)</f>
        <v>1</v>
      </c>
    </row>
    <row r="248" spans="1:9" ht="14.25">
      <c r="A248">
        <f t="shared" ca="1" si="100"/>
        <v>91</v>
      </c>
      <c r="B248" t="str">
        <f ca="1"/>
        <v>Multi Set</v>
      </c>
      <c r="C248" s="204" t="str">
        <f t="shared" ca="1" si="106"/>
        <v>Striking Gold Ring, set with 1 Star Ruby (Medium Flawless) and 1 Pearl (Small Standard Grade)</v>
      </c>
      <c r="D248" t="str">
        <f t="shared" ca="1" si="101"/>
        <v>8178 Gold</v>
      </c>
      <c r="E248" s="205">
        <f t="shared" ca="1" si="102"/>
        <v>8178.0600000000013</v>
      </c>
      <c r="F248">
        <f t="shared" ca="1" si="103"/>
        <v>8178</v>
      </c>
      <c r="G248">
        <f t="shared" ca="1" si="104"/>
        <v>0</v>
      </c>
      <c r="H248">
        <f t="shared" ca="1" si="105"/>
        <v>6</v>
      </c>
      <c r="I248" s="206">
        <f ca="1">IFERROR(__xludf.DUMMYFUNCTION("iferror( if(H248&gt;1000,1,if(H248&lt;500,max(min(randbetween(0,1)+randbetween(0,1),2),1),if(regexmatch(A248,""Loose""),max(min(randbetween(1,3)+randbetween(0,3)-3,5),1),if(H248&lt;100,randbetween(1,3),max(min(randbetween(1,5)+randbetween(1,5)-5,5),1))))),0)"),1)</f>
        <v>1</v>
      </c>
    </row>
    <row r="249" spans="1:9" ht="14.25">
      <c r="A249">
        <f t="shared" ca="1" si="100"/>
        <v>79</v>
      </c>
      <c r="B249" t="str">
        <f ca="1"/>
        <v>Set</v>
      </c>
      <c r="C249" s="204" t="str">
        <f t="shared" ca="1" si="106"/>
        <v>Mediocre Mithril Cup, set with Garnet (Tiny Inferior Grade)</v>
      </c>
      <c r="D249" t="str">
        <f t="shared" ca="1" si="101"/>
        <v>605 Gold</v>
      </c>
      <c r="E249" s="205">
        <f t="shared" ca="1" si="102"/>
        <v>605.24749999999995</v>
      </c>
      <c r="F249">
        <f t="shared" ca="1" si="103"/>
        <v>605</v>
      </c>
      <c r="G249">
        <f t="shared" ca="1" si="104"/>
        <v>2</v>
      </c>
      <c r="H249">
        <f t="shared" ca="1" si="105"/>
        <v>5</v>
      </c>
      <c r="I249" s="206">
        <f ca="1">IFERROR(__xludf.DUMMYFUNCTION("iferror( if(H249&gt;1000,1,if(H249&lt;500,max(min(randbetween(0,1)+randbetween(0,1),2),1),if(regexmatch(A249,""Loose""),max(min(randbetween(1,3)+randbetween(0,3)-3,5),1),if(H249&lt;100,randbetween(1,3),max(min(randbetween(1,5)+randbetween(1,5)-5,5),1))))),0)"),1)</f>
        <v>1</v>
      </c>
    </row>
    <row r="250" spans="1:9" ht="14.25">
      <c r="A250">
        <f t="shared" ca="1" si="100"/>
        <v>27</v>
      </c>
      <c r="B250" t="str">
        <f ca="1"/>
        <v>Loose</v>
      </c>
      <c r="C250" s="204" t="str">
        <f t="shared" ca="1" si="106"/>
        <v>Loose Ruby (Large Inferior Grade)</v>
      </c>
      <c r="D250" t="str">
        <f t="shared" ca="1" si="101"/>
        <v>495 Gold</v>
      </c>
      <c r="E250" s="205">
        <f t="shared" ca="1" si="102"/>
        <v>495</v>
      </c>
      <c r="F250">
        <f t="shared" ca="1" si="103"/>
        <v>495</v>
      </c>
      <c r="G250">
        <f t="shared" ca="1" si="104"/>
        <v>0</v>
      </c>
      <c r="H250">
        <f t="shared" ca="1" si="105"/>
        <v>0</v>
      </c>
      <c r="I250" s="206">
        <f ca="1">IFERROR(__xludf.DUMMYFUNCTION("iferror( if(H250&gt;1000,1,if(H250&lt;500,max(min(randbetween(0,1)+randbetween(0,1),2),1),if(regexmatch(A250,""Loose""),max(min(randbetween(1,3)+randbetween(0,3)-3,5),1),if(H250&lt;100,randbetween(1,3),max(min(randbetween(1,5)+randbetween(1,5)-5,5),1))))),0)"),1)</f>
        <v>1</v>
      </c>
    </row>
    <row r="251" spans="1:9" ht="14.25">
      <c r="A251">
        <f t="shared" ca="1" si="100"/>
        <v>24</v>
      </c>
      <c r="B251" t="str">
        <f ca="1"/>
        <v>Loose</v>
      </c>
      <c r="C251" s="204" t="str">
        <f t="shared" ca="1" si="106"/>
        <v>Loose Obsidian (Medium Superior Grade)</v>
      </c>
      <c r="D251" t="str">
        <f t="shared" ca="1" si="101"/>
        <v>144 Gold</v>
      </c>
      <c r="E251" s="205">
        <f t="shared" ca="1" si="102"/>
        <v>144</v>
      </c>
      <c r="F251">
        <f t="shared" ca="1" si="103"/>
        <v>144</v>
      </c>
      <c r="G251">
        <f t="shared" ca="1" si="104"/>
        <v>0</v>
      </c>
      <c r="H251">
        <f t="shared" ca="1" si="105"/>
        <v>0</v>
      </c>
      <c r="I251" s="206">
        <f ca="1">IFERROR(__xludf.DUMMYFUNCTION("iferror( if(H251&gt;1000,1,if(H251&lt;500,max(min(randbetween(0,1)+randbetween(0,1),2),1),if(regexmatch(A251,""Loose""),max(min(randbetween(1,3)+randbetween(0,3)-3,5),1),if(H251&lt;100,randbetween(1,3),max(min(randbetween(1,5)+randbetween(1,5)-5,5),1))))),0)"),2)</f>
        <v>2</v>
      </c>
    </row>
    <row r="252" spans="1:9" ht="14.25">
      <c r="A252">
        <f t="shared" ca="1" si="100"/>
        <v>42</v>
      </c>
      <c r="B252" t="str">
        <f ca="1"/>
        <v>Plain</v>
      </c>
      <c r="C252" s="204" t="str">
        <f t="shared" ca="1" si="106"/>
        <v>Mediocre Electrum Serving Tray</v>
      </c>
      <c r="D252" t="str">
        <f t="shared" ca="1" si="101"/>
        <v>60 Gold, 7 Silver</v>
      </c>
      <c r="E252" s="205">
        <f t="shared" ca="1" si="102"/>
        <v>60.75</v>
      </c>
      <c r="F252">
        <f t="shared" ca="1" si="103"/>
        <v>60</v>
      </c>
      <c r="G252">
        <f t="shared" ca="1" si="104"/>
        <v>7</v>
      </c>
      <c r="H252">
        <f t="shared" ca="1" si="105"/>
        <v>5</v>
      </c>
      <c r="I252" s="206">
        <f ca="1">IFERROR(__xludf.DUMMYFUNCTION("iferror( if(H252&gt;1000,1,if(H252&lt;500,max(min(randbetween(0,1)+randbetween(0,1),2),1),if(regexmatch(A252,""Loose""),max(min(randbetween(1,3)+randbetween(0,3)-3,5),1),if(H252&lt;100,randbetween(1,3),max(min(randbetween(1,5)+randbetween(1,5)-5,5),1))))),0)"),1)</f>
        <v>1</v>
      </c>
    </row>
    <row r="253" spans="1:9" ht="14.25">
      <c r="A253">
        <f t="shared" ca="1" si="100"/>
        <v>1</v>
      </c>
      <c r="B253" t="str">
        <f ca="1"/>
        <v>Loose</v>
      </c>
      <c r="C253" s="204" t="str">
        <f t="shared" ca="1" si="106"/>
        <v>Loose Aquamarine (Medium Superior Grade)</v>
      </c>
      <c r="D253" t="str">
        <f t="shared" ca="1" si="101"/>
        <v>637 Gold</v>
      </c>
      <c r="E253" s="205">
        <f t="shared" ca="1" si="102"/>
        <v>637.5</v>
      </c>
      <c r="F253">
        <f t="shared" ca="1" si="103"/>
        <v>637</v>
      </c>
      <c r="G253">
        <f t="shared" ca="1" si="104"/>
        <v>5</v>
      </c>
      <c r="H253">
        <f t="shared" ca="1" si="105"/>
        <v>0</v>
      </c>
      <c r="I253" s="206">
        <f ca="1">IFERROR(__xludf.DUMMYFUNCTION("iferror( if(H253&gt;1000,1,if(H253&lt;500,max(min(randbetween(0,1)+randbetween(0,1),2),1),if(regexmatch(A253,""Loose""),max(min(randbetween(1,3)+randbetween(0,3)-3,5),1),if(H253&lt;100,randbetween(1,3),max(min(randbetween(1,5)+randbetween(1,5)-5,5),1))))),0)"),1)</f>
        <v>1</v>
      </c>
    </row>
    <row r="254" spans="1:9" ht="14.25">
      <c r="A254">
        <f t="shared" ca="1" si="100"/>
        <v>21</v>
      </c>
      <c r="B254" t="str">
        <f ca="1"/>
        <v>Loose</v>
      </c>
      <c r="C254" s="204" t="str">
        <f t="shared" ca="1" si="106"/>
        <v>Loose Rose Quartz (Small Standard Grade)</v>
      </c>
      <c r="D254" t="str">
        <f t="shared" ca="1" si="101"/>
        <v>5 Gold, 10 Copper</v>
      </c>
      <c r="E254" s="205">
        <f t="shared" ca="1" si="102"/>
        <v>5.0999999999999996</v>
      </c>
      <c r="F254">
        <f t="shared" ca="1" si="103"/>
        <v>5</v>
      </c>
      <c r="G254">
        <f t="shared" ca="1" si="104"/>
        <v>0</v>
      </c>
      <c r="H254">
        <f t="shared" ca="1" si="105"/>
        <v>10</v>
      </c>
      <c r="I254" s="206">
        <f ca="1">IFERROR(__xludf.DUMMYFUNCTION("iferror( if(H254&gt;1000,1,if(H254&lt;500,max(min(randbetween(0,1)+randbetween(0,1),2),1),if(regexmatch(A254,""Loose""),max(min(randbetween(1,3)+randbetween(0,3)-3,5),1),if(H254&lt;100,randbetween(1,3),max(min(randbetween(1,5)+randbetween(1,5)-5,5),1))))),0)"),1)</f>
        <v>1</v>
      </c>
    </row>
    <row r="255" spans="1:9" ht="14.25">
      <c r="A255">
        <f t="shared" ca="1" si="100"/>
        <v>89</v>
      </c>
      <c r="B255" t="str">
        <f ca="1"/>
        <v>Multi Set</v>
      </c>
      <c r="C255" s="204" t="str">
        <f t="shared" ca="1" si="106"/>
        <v>Exquisite Bronze Bowl, set with 1 Sapphire (Medium Superior Grade) and 5 Onyx (Medium Inferior Grade)</v>
      </c>
      <c r="D255" t="str">
        <f t="shared" ca="1" si="101"/>
        <v>1634 Gold</v>
      </c>
      <c r="E255" s="205">
        <f t="shared" ca="1" si="102"/>
        <v>1634.97</v>
      </c>
      <c r="F255">
        <f t="shared" ca="1" si="103"/>
        <v>1634</v>
      </c>
      <c r="G255">
        <f t="shared" ca="1" si="104"/>
        <v>9</v>
      </c>
      <c r="H255">
        <f t="shared" ca="1" si="105"/>
        <v>7.0000000000000009</v>
      </c>
      <c r="I255" s="206">
        <f ca="1">IFERROR(__xludf.DUMMYFUNCTION("iferror( if(H255&gt;1000,1,if(H255&lt;500,max(min(randbetween(0,1)+randbetween(0,1),2),1),if(regexmatch(A255,""Loose""),max(min(randbetween(1,3)+randbetween(0,3)-3,5),1),if(H255&lt;100,randbetween(1,3),max(min(randbetween(1,5)+randbetween(1,5)-5,5),1))))),0)"),1)</f>
        <v>1</v>
      </c>
    </row>
    <row r="256" spans="1:9" ht="14.25">
      <c r="A256">
        <f t="shared" ca="1" si="100"/>
        <v>56</v>
      </c>
      <c r="B256" t="str">
        <f ca="1"/>
        <v>Plain</v>
      </c>
      <c r="C256" s="204" t="str">
        <f t="shared" ca="1" si="106"/>
        <v>Fair Gold Ring</v>
      </c>
      <c r="D256" t="str">
        <f t="shared" ca="1" si="101"/>
        <v>1 Gold, 6 Copper</v>
      </c>
      <c r="E256" s="205">
        <f t="shared" ca="1" si="102"/>
        <v>1.06</v>
      </c>
      <c r="F256">
        <f t="shared" ca="1" si="103"/>
        <v>1</v>
      </c>
      <c r="G256">
        <f t="shared" ca="1" si="104"/>
        <v>0</v>
      </c>
      <c r="H256">
        <f t="shared" ca="1" si="105"/>
        <v>6</v>
      </c>
      <c r="I256" s="206">
        <f ca="1">IFERROR(__xludf.DUMMYFUNCTION("iferror( if(H256&gt;1000,1,if(H256&lt;500,max(min(randbetween(0,1)+randbetween(0,1),2),1),if(regexmatch(A256,""Loose""),max(min(randbetween(1,3)+randbetween(0,3)-3,5),1),if(H256&lt;100,randbetween(1,3),max(min(randbetween(1,5)+randbetween(1,5)-5,5),1))))),0)"),2)</f>
        <v>2</v>
      </c>
    </row>
    <row r="257" spans="1:9" ht="14.25">
      <c r="A257">
        <f t="shared" ca="1" si="100"/>
        <v>71</v>
      </c>
      <c r="B257" t="str">
        <f ca="1"/>
        <v>Set</v>
      </c>
      <c r="C257" s="204" t="str">
        <f t="shared" ca="1" si="106"/>
        <v>Ordinary Bronze Necklace, set with Amethyst (Tiny Standard Grade)</v>
      </c>
      <c r="D257" t="str">
        <f t="shared" ca="1" si="101"/>
        <v>30 Gold, 7 Silver</v>
      </c>
      <c r="E257" s="205">
        <f t="shared" ca="1" si="102"/>
        <v>30.754799999999999</v>
      </c>
      <c r="F257">
        <f t="shared" ca="1" si="103"/>
        <v>30</v>
      </c>
      <c r="G257">
        <f t="shared" ca="1" si="104"/>
        <v>7</v>
      </c>
      <c r="H257">
        <f t="shared" ca="1" si="105"/>
        <v>5</v>
      </c>
      <c r="I257" s="206">
        <f ca="1">IFERROR(__xludf.DUMMYFUNCTION("iferror( if(H257&gt;1000,1,if(H257&lt;500,max(min(randbetween(0,1)+randbetween(0,1),2),1),if(regexmatch(A257,""Loose""),max(min(randbetween(1,3)+randbetween(0,3)-3,5),1),if(H257&lt;100,randbetween(1,3),max(min(randbetween(1,5)+randbetween(1,5)-5,5),1))))),0)"),1)</f>
        <v>1</v>
      </c>
    </row>
    <row r="258" spans="1:9" ht="14.25">
      <c r="A258">
        <f t="shared" ca="1" si="100"/>
        <v>27</v>
      </c>
      <c r="B258" t="str">
        <f ca="1"/>
        <v>Loose</v>
      </c>
      <c r="C258" s="204" t="str">
        <f t="shared" ca="1" si="106"/>
        <v>Loose Aquamarine (Medium Inferior Grade)</v>
      </c>
      <c r="D258" t="str">
        <f t="shared" ca="1" si="101"/>
        <v>367 Gold</v>
      </c>
      <c r="E258" s="205">
        <f t="shared" ca="1" si="102"/>
        <v>367.5</v>
      </c>
      <c r="F258">
        <f t="shared" ca="1" si="103"/>
        <v>367</v>
      </c>
      <c r="G258">
        <f t="shared" ca="1" si="104"/>
        <v>5</v>
      </c>
      <c r="H258">
        <f t="shared" ca="1" si="105"/>
        <v>0</v>
      </c>
      <c r="I258" s="206">
        <f ca="1">IFERROR(__xludf.DUMMYFUNCTION("iferror( if(H258&gt;1000,1,if(H258&lt;500,max(min(randbetween(0,1)+randbetween(0,1),2),1),if(regexmatch(A258,""Loose""),max(min(randbetween(1,3)+randbetween(0,3)-3,5),1),if(H258&lt;100,randbetween(1,3),max(min(randbetween(1,5)+randbetween(1,5)-5,5),1))))),0)"),1)</f>
        <v>1</v>
      </c>
    </row>
    <row r="259" spans="1:9" ht="14.25">
      <c r="A259">
        <f t="shared" ca="1" si="100"/>
        <v>16</v>
      </c>
      <c r="B259" t="str">
        <f ca="1"/>
        <v>Loose</v>
      </c>
      <c r="C259" s="204" t="str">
        <f t="shared" ca="1" si="106"/>
        <v>Loose Jade (Tiny Inferior Grade)</v>
      </c>
      <c r="D259" t="str">
        <f t="shared" ca="1" si="101"/>
        <v>2 Gold, 8 Silver, 5 Copper</v>
      </c>
      <c r="E259" s="205">
        <f t="shared" ca="1" si="102"/>
        <v>2.8499999999999996</v>
      </c>
      <c r="F259">
        <f t="shared" ca="1" si="103"/>
        <v>2</v>
      </c>
      <c r="G259">
        <f t="shared" ca="1" si="104"/>
        <v>8</v>
      </c>
      <c r="H259">
        <f t="shared" ca="1" si="105"/>
        <v>5</v>
      </c>
      <c r="I259" s="206">
        <f ca="1">IFERROR(__xludf.DUMMYFUNCTION("iferror( if(H259&gt;1000,1,if(H259&lt;500,max(min(randbetween(0,1)+randbetween(0,1),2),1),if(regexmatch(A259,""Loose""),max(min(randbetween(1,3)+randbetween(0,3)-3,5),1),if(H259&lt;100,randbetween(1,3),max(min(randbetween(1,5)+randbetween(1,5)-5,5),1))))),0)"),1)</f>
        <v>1</v>
      </c>
    </row>
    <row r="260" spans="1:9" ht="14.25">
      <c r="A260">
        <f t="shared" ca="1" si="100"/>
        <v>72</v>
      </c>
      <c r="B260" t="str">
        <f ca="1"/>
        <v>Set</v>
      </c>
      <c r="C260" s="204" t="str">
        <f t="shared" ca="1" si="106"/>
        <v>Extraordinary Electrum Chalice, set with Rock Crystal (Medium Superior Grade)</v>
      </c>
      <c r="D260" t="str">
        <f t="shared" ca="1" si="101"/>
        <v>40 Gold, 2 Silver</v>
      </c>
      <c r="E260" s="205">
        <f t="shared" ca="1" si="102"/>
        <v>40.26</v>
      </c>
      <c r="F260">
        <f t="shared" ca="1" si="103"/>
        <v>40</v>
      </c>
      <c r="G260">
        <f t="shared" ca="1" si="104"/>
        <v>2</v>
      </c>
      <c r="H260">
        <f t="shared" ca="1" si="105"/>
        <v>6</v>
      </c>
      <c r="I260" s="206">
        <f ca="1">IFERROR(__xludf.DUMMYFUNCTION("iferror( if(H260&gt;1000,1,if(H260&lt;500,max(min(randbetween(0,1)+randbetween(0,1),2),1),if(regexmatch(A260,""Loose""),max(min(randbetween(1,3)+randbetween(0,3)-3,5),1),if(H260&lt;100,randbetween(1,3),max(min(randbetween(1,5)+randbetween(1,5)-5,5),1))))),0)"),2)</f>
        <v>2</v>
      </c>
    </row>
    <row r="261" spans="1:9" ht="14.25">
      <c r="A261">
        <f t="shared" ca="1" si="100"/>
        <v>54</v>
      </c>
      <c r="B261" t="str">
        <f ca="1"/>
        <v>Plain</v>
      </c>
      <c r="C261" s="204" t="str">
        <f t="shared" ca="1" si="106"/>
        <v>Elegant Bronze Pendant</v>
      </c>
      <c r="D261" t="str">
        <f t="shared" ca="1" si="101"/>
        <v>1 Gold, 5 Silver</v>
      </c>
      <c r="E261" s="205">
        <f t="shared" ca="1" si="102"/>
        <v>1.5024</v>
      </c>
      <c r="F261">
        <f t="shared" ca="1" si="103"/>
        <v>1</v>
      </c>
      <c r="G261">
        <f t="shared" ca="1" si="104"/>
        <v>5</v>
      </c>
      <c r="H261">
        <f t="shared" ca="1" si="105"/>
        <v>0</v>
      </c>
      <c r="I261" s="206">
        <f ca="1">IFERROR(__xludf.DUMMYFUNCTION("iferror( if(H261&gt;1000,1,if(H261&lt;500,max(min(randbetween(0,1)+randbetween(0,1),2),1),if(regexmatch(A261,""Loose""),max(min(randbetween(1,3)+randbetween(0,3)-3,5),1),if(H261&lt;100,randbetween(1,3),max(min(randbetween(1,5)+randbetween(1,5)-5,5),1))))),0)"),2)</f>
        <v>2</v>
      </c>
    </row>
    <row r="262" spans="1:9" ht="14.25">
      <c r="A262">
        <f t="shared" ca="1" si="100"/>
        <v>78</v>
      </c>
      <c r="B262" t="str">
        <f ca="1"/>
        <v>Set</v>
      </c>
      <c r="C262" s="204" t="str">
        <f t="shared" ca="1" si="106"/>
        <v>Elegant Electrum Necklace, set with Onyx (Medium Standard Grade)</v>
      </c>
      <c r="D262" t="str">
        <f t="shared" ca="1" si="101"/>
        <v>77 Gold, 5 Silver</v>
      </c>
      <c r="E262" s="205">
        <f t="shared" ca="1" si="102"/>
        <v>77.55</v>
      </c>
      <c r="F262">
        <f t="shared" ca="1" si="103"/>
        <v>77</v>
      </c>
      <c r="G262">
        <f t="shared" ca="1" si="104"/>
        <v>5</v>
      </c>
      <c r="H262">
        <f t="shared" ca="1" si="105"/>
        <v>5</v>
      </c>
      <c r="I262" s="206">
        <f ca="1">IFERROR(__xludf.DUMMYFUNCTION("iferror( if(H262&gt;1000,1,if(H262&lt;500,max(min(randbetween(0,1)+randbetween(0,1),2),1),if(regexmatch(A262,""Loose""),max(min(randbetween(1,3)+randbetween(0,3)-3,5),1),if(H262&lt;100,randbetween(1,3),max(min(randbetween(1,5)+randbetween(1,5)-5,5),1))))),0)"),2)</f>
        <v>2</v>
      </c>
    </row>
    <row r="263" spans="1:9" ht="14.25">
      <c r="C263" s="204"/>
    </row>
  </sheetData>
  <mergeCells count="13">
    <mergeCell ref="B3:H3"/>
    <mergeCell ref="P3:T3"/>
    <mergeCell ref="O13:T13"/>
    <mergeCell ref="K13:M13"/>
    <mergeCell ref="A48:F49"/>
    <mergeCell ref="A38:C38"/>
    <mergeCell ref="P131:Y131"/>
    <mergeCell ref="P161:Y161"/>
    <mergeCell ref="P191:Y191"/>
    <mergeCell ref="K220:N220"/>
    <mergeCell ref="I3:O3"/>
    <mergeCell ref="P102:X102"/>
    <mergeCell ref="P73:Y73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54</vt:i4>
      </vt:variant>
    </vt:vector>
  </HeadingPairs>
  <TitlesOfParts>
    <vt:vector size="56" baseType="lpstr">
      <vt:lpstr>Jewelry Shop Inventory</vt:lpstr>
      <vt:lpstr>Settings</vt:lpstr>
      <vt:lpstr>CraftNum</vt:lpstr>
      <vt:lpstr>CraftRange</vt:lpstr>
      <vt:lpstr>CraftRef</vt:lpstr>
      <vt:lpstr>EStoneRange</vt:lpstr>
      <vt:lpstr>EStoneRef</vt:lpstr>
      <vt:lpstr>ExtremeRange</vt:lpstr>
      <vt:lpstr>ExtremeValue</vt:lpstr>
      <vt:lpstr>InvSize</vt:lpstr>
      <vt:lpstr>ItemCommonCount</vt:lpstr>
      <vt:lpstr>ItemRange</vt:lpstr>
      <vt:lpstr>ItemRareCount</vt:lpstr>
      <vt:lpstr>ItemTypeCount</vt:lpstr>
      <vt:lpstr>ItemTypeRange</vt:lpstr>
      <vt:lpstr>ItemTypeRarity</vt:lpstr>
      <vt:lpstr>ItemTypeRef</vt:lpstr>
      <vt:lpstr>ItemUncommonCount</vt:lpstr>
      <vt:lpstr>ItemUniqueCount</vt:lpstr>
      <vt:lpstr>LooseRange</vt:lpstr>
      <vt:lpstr>LooseValue</vt:lpstr>
      <vt:lpstr>MaterialCount</vt:lpstr>
      <vt:lpstr>MaterialRange</vt:lpstr>
      <vt:lpstr>MaterialRef</vt:lpstr>
      <vt:lpstr>MerchType</vt:lpstr>
      <vt:lpstr>MissingRange</vt:lpstr>
      <vt:lpstr>MissingValue</vt:lpstr>
      <vt:lpstr>MStoneRange</vt:lpstr>
      <vt:lpstr>MStoneRef</vt:lpstr>
      <vt:lpstr>MultiRange</vt:lpstr>
      <vt:lpstr>MultiValue</vt:lpstr>
      <vt:lpstr>PlainRange</vt:lpstr>
      <vt:lpstr>PlainValue</vt:lpstr>
      <vt:lpstr>ProbQ</vt:lpstr>
      <vt:lpstr>ProbR</vt:lpstr>
      <vt:lpstr>ProbR2</vt:lpstr>
      <vt:lpstr>ProbT</vt:lpstr>
      <vt:lpstr>QRange</vt:lpstr>
      <vt:lpstr>QRef</vt:lpstr>
      <vt:lpstr>SetRange</vt:lpstr>
      <vt:lpstr>SetValue</vt:lpstr>
      <vt:lpstr>StoneQ</vt:lpstr>
      <vt:lpstr>StonesC</vt:lpstr>
      <vt:lpstr>StonesR</vt:lpstr>
      <vt:lpstr>StonesU</vt:lpstr>
      <vt:lpstr>StonesUC</vt:lpstr>
      <vt:lpstr>StonesVC</vt:lpstr>
      <vt:lpstr>StonesVR</vt:lpstr>
      <vt:lpstr>StoneTypeRange</vt:lpstr>
      <vt:lpstr>StoneTypes</vt:lpstr>
      <vt:lpstr>StoneV</vt:lpstr>
      <vt:lpstr>TypeLast</vt:lpstr>
      <vt:lpstr>TypeRange</vt:lpstr>
      <vt:lpstr>TypeRef</vt:lpstr>
      <vt:lpstr>Wealth</vt:lpstr>
      <vt:lpstr>WealthMod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Палихов Антон</cp:lastModifiedBy>
  <dcterms:created xsi:type="dcterms:W3CDTF">2020-08-24T06:19:26Z</dcterms:created>
  <dcterms:modified xsi:type="dcterms:W3CDTF">2020-08-24T06:19:27Z</dcterms:modified>
</cp:coreProperties>
</file>