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 Info" sheetId="1" r:id="rId3"/>
    <sheet state="visible" name="Party Info" sheetId="2" r:id="rId4"/>
    <sheet state="visible" name="Party Inventory" sheetId="3" r:id="rId5"/>
    <sheet state="visible" name="Hidden 757861784" sheetId="4" r:id="rId6"/>
    <sheet state="hidden" name="Hidden 796318378" sheetId="5" r:id="rId7"/>
    <sheet state="hidden" name="Hidden 196701235" sheetId="6" r:id="rId8"/>
    <sheet state="hidden" name="Hidden 1670416913" sheetId="7" r:id="rId9"/>
    <sheet state="hidden" name="Hidden 1841022303" sheetId="8" r:id="rId10"/>
    <sheet state="hidden" name="Hidden 1564173661" sheetId="9" r:id="rId11"/>
    <sheet state="hidden" name="Hidden 1993484902" sheetId="10" r:id="rId12"/>
    <sheet state="hidden" name="Hidden 920736060" sheetId="11" r:id="rId13"/>
    <sheet state="visible" name="Hidden 948371148" sheetId="12" r:id="rId14"/>
    <sheet state="visible" name="Changelog" sheetId="13" r:id="rId15"/>
    <sheet state="visible" name="Reference" sheetId="14" r:id="rId16"/>
  </sheets>
  <definedNames>
    <definedName name="Ch5_In_Inventory1">'Hidden 796318378'!$B$27:$D$208</definedName>
    <definedName name="Ch8_MountSizeMult">'Hidden 1841022303'!$N$2</definedName>
    <definedName name="Ch9_PartyEquip">'Hidden 948371148'!$A$27:$A$208</definedName>
    <definedName name="Ch1_Weight">'Character Info'!$F$5</definedName>
    <definedName name="Ch4_In_Inventory2">'Hidden 1564173661'!$F$27:$M$208</definedName>
    <definedName name="Ch6_SizeMultiplier">'Hidden 1993484902'!$A$2</definedName>
    <definedName name="Ch5_MountStr">'Character Info'!$I$9</definedName>
    <definedName name="Ch6_Storage">'Character Info'!$T$19:$U$29</definedName>
    <definedName name="Ch3_Level">'Hidden 1670416913'!$H$5</definedName>
    <definedName name="Ch2_Storage">'Character Info'!$P$6:$Q$15</definedName>
    <definedName name="Ch5_StorageEquipStatus">'Character Info'!$Q$19:$Q$28</definedName>
    <definedName name="Ch4_XP">'Hidden 1564173661'!$H$3</definedName>
    <definedName name="Draft3SizeMult">'Party Inventory'!$O$27</definedName>
    <definedName name="Ch3_Storage">'Character Info'!$T$6:$U$15</definedName>
    <definedName name="Ch7_In_Inventory2">'Hidden 920736060'!$F$27:$M$208</definedName>
    <definedName name="PartyStorage">Reference!$A$3:$B$29</definedName>
    <definedName name="Ch7_EquipStatus">'Hidden 920736060'!$N$27:$N$208</definedName>
    <definedName name="Draft4Str">'Party Info'!$F$7</definedName>
    <definedName name="DraftAnimal8">'Party Info'!$C$11</definedName>
    <definedName name="Ch5_Size">'Character Info'!$D$9</definedName>
    <definedName name="Ch7_Str">'Character Info'!$E$11</definedName>
    <definedName name="Ch2_MountName">'Character Info'!$G$6</definedName>
    <definedName name="Ch7_XP">'Hidden 920736060'!$H$3</definedName>
    <definedName name="Ch1_MountStr">'Character Info'!$I$5</definedName>
    <definedName name="Vehicle2Weight">'Party Info'!$D$20</definedName>
    <definedName name="Ch9_Str">'Character Info'!$E$13</definedName>
    <definedName name="Ch8_Weight">'Character Info'!$F$12</definedName>
    <definedName name="Ch1_PartyEquip">'Hidden 757861784'!$A$27:$A$208</definedName>
    <definedName name="Draft10Str">'Party Info'!$D$13</definedName>
    <definedName name="Draft11Str">'Party Info'!$D$14</definedName>
    <definedName name="Ch4_Weight">'Character Info'!$F$8</definedName>
    <definedName name="Party_Gems">'Party Inventory'!$B$12:$B$17</definedName>
    <definedName name="Ch2_Name">'Character Info'!$C$6</definedName>
    <definedName name="Ch7_InventoryWeights">'Hidden 920736060'!$E$27:$E$208</definedName>
    <definedName name="DraftAnimal5">'Party Info'!$C$8</definedName>
    <definedName name="DraftAnimal11">'Party Info'!$C$14</definedName>
    <definedName name="Ch3_Money">'Hidden 1670416913'!$B$11:$B$15</definedName>
    <definedName name="Ch3_In_Inventory1">'Hidden 1670416913'!$B$27:$D$208</definedName>
    <definedName name="Ch6_In_Inventory2">'Hidden 1993484902'!$F$27:$M$208</definedName>
    <definedName name="Ch1_Storage">'Character Info'!$L$6:$M$15</definedName>
    <definedName name="Draft9Str">'Party Info'!$F$12</definedName>
    <definedName name="Ch1_Gems">'Hidden 757861784'!$B$19:$B$24</definedName>
    <definedName name="Ch9_MountSizeMult">'Hidden 948371148'!$N$2</definedName>
    <definedName name="Draft3Str">'Party Info'!$F$6</definedName>
    <definedName name="Ch2_In_Inventory1">'Hidden 196701235'!$B$27:$D$208</definedName>
    <definedName name="Ch4_Size">'Character Info'!$D$8</definedName>
    <definedName name="Ch7_Storage">'Character Info'!$L$32:$M$42</definedName>
    <definedName name="Ch6_Gems">'Hidden 1993484902'!$B$19:$B$24</definedName>
    <definedName name="Ch2_Str">'Character Info'!$E$6</definedName>
    <definedName name="Ch1_InventoryWeights">'Hidden 757861784'!$E$27:$E$208</definedName>
    <definedName name="Ch5_InventoryWeights">'Hidden 796318378'!$E$27:$E$208</definedName>
    <definedName name="Ch3_Name">'Character Info'!$C$7</definedName>
    <definedName name="Draft4SizeMult">'Party Inventory'!$O$34</definedName>
    <definedName name="Draft1SizeMult">'Party Inventory'!$O$13</definedName>
    <definedName name="Draft3Size">'Party Info'!$E$6</definedName>
    <definedName name="Ch9_Size">'Character Info'!$D$13</definedName>
    <definedName name="Ch1_StorageEquipStatus">'Character Info'!$M$6:$M$15</definedName>
    <definedName name="Ch1_MountSizeMult">'Hidden 757861784'!$N$2</definedName>
    <definedName name="Ch6_InventoryWeights">'Hidden 1993484902'!$E$27:$E$208</definedName>
    <definedName name="Draft8Size">'Party Info'!$E$11</definedName>
    <definedName name="Ch3_XP">'Hidden 1670416913'!$H$3</definedName>
    <definedName name="Ch4_MountStr">'Character Info'!$I$8</definedName>
    <definedName name="Ch9_Money">'Hidden 948371148'!$B$11:$B$15</definedName>
    <definedName name="Ch3_MountStr">'Character Info'!$I$7</definedName>
    <definedName name="Draft6Size">'Party Info'!$E$9</definedName>
    <definedName name="Ch9_Gems">'Hidden 948371148'!$B$19:$B$24</definedName>
    <definedName name="Ch4_In_Gems">'Hidden 1564173661'!$B$19:$B$24</definedName>
    <definedName name="Vehicle1">'Party Info'!$C$19</definedName>
    <definedName name="Vehicle3AdjustedCapacity">'Party Info'!$E$21</definedName>
    <definedName name="Ch3_MountSize">'Character Info'!$H$7</definedName>
    <definedName name="Vehicle3Weight">'Party Info'!$D$21</definedName>
    <definedName name="Ch2_InventoryWeights">'Hidden 196701235'!$E$27:$E$208</definedName>
    <definedName name="Ch6_Weight">'Character Info'!$F$10</definedName>
    <definedName name="DraftAnimal2">'Party Info'!$C$5</definedName>
    <definedName name="Party_InventoryWeights">'Party Inventory'!$E$20:$E$201</definedName>
    <definedName name="Draft5Str">'Party Info'!$F$8</definedName>
    <definedName name="Ch4_Storage">'Character Info'!$L$19:$M$29</definedName>
    <definedName name="Ch8_Size">'Character Info'!$D$12</definedName>
    <definedName name="PartyStorageOptions">Reference!$C$3:$C$6</definedName>
    <definedName name="Animal_Hitch_Status">'Party Info'!$F$19:$K$21</definedName>
    <definedName name="Draft12Str">'Party Info'!$F$15</definedName>
    <definedName name="Ch7_MountName">'Character Info'!$G$11</definedName>
    <definedName name="Ch7_Name">'Character Info'!$C$11</definedName>
    <definedName name="PartyEquipStatus">'Party Inventory'!$N$20:$N$201</definedName>
    <definedName name="Ch1_Money">'Hidden 757861784'!$B$11:$B$15</definedName>
    <definedName name="Ch9_EquipStatus">'Hidden 948371148'!$N$27:$N$208</definedName>
    <definedName name="Ch4_StorageEquipStatus">'Character Info'!$M$19:$M$28</definedName>
    <definedName name="Ch5_EquipStatus">'Hidden 796318378'!$N$27:$N$208</definedName>
    <definedName name="Draft1Str">'Party Info'!$F$4</definedName>
    <definedName name="Ch5_MountSize">'Character Info'!$H$9</definedName>
    <definedName name="Ch2_Money">'Hidden 196701235'!$B$11:$B$15</definedName>
    <definedName name="Ch6_In_XP">'Hidden 1993484902'!$H$3</definedName>
    <definedName name="Draft2Str">'Party Info'!$F$5</definedName>
    <definedName name="Ch6_Level">'Hidden 1993484902'!$H$5</definedName>
    <definedName name="Ch5_MountName">'Character Info'!$G$9</definedName>
    <definedName name="Ch4_InventoryWeights">'Hidden 1564173661'!$E$27:$E$208</definedName>
    <definedName name="Ch1_MountName">'Character Info'!$G$5</definedName>
    <definedName name="Draft4Size">'Party Info'!$E$7</definedName>
    <definedName name="Ch8_Storage">'Character Info'!$P$32:$Q$42</definedName>
    <definedName name="Draft8Str">'Party Info'!$F$11</definedName>
    <definedName name="Ch3_EquipStatus">'Hidden 1670416913'!$N$27:$N$208</definedName>
    <definedName name="Ch3_In_Inventory2">'Hidden 1670416913'!$F$27:$M$208</definedName>
    <definedName name="Ch6_MountName">'Character Info'!$G$10</definedName>
    <definedName name="Ch5_Storage">'Character Info'!$P$19:$Q$29</definedName>
    <definedName name="Ch9_MountStr">'Character Info'!$I$13</definedName>
    <definedName name="Draft2Size">'Party Info'!$E$5</definedName>
    <definedName name="XPTable_v">Reference!$B$32:$C$51</definedName>
    <definedName name="Ch8_Str">'Character Info'!$E$12</definedName>
    <definedName name="Ch5_In_XP">'Hidden 796318378'!$H$3</definedName>
    <definedName name="Draft10Size">'Party Info'!$E$13</definedName>
    <definedName name="Draft5Size">'Party Info'!$E$8</definedName>
    <definedName name="Ch5_Weight">'Character Info'!$F$9</definedName>
    <definedName name="Ch2_StorageEquipStatus">'Character Info'!$Q$6:$Q$15</definedName>
    <definedName name="Draft9Size">'Party Info'!$E$12</definedName>
    <definedName name="Ch6_StorageEquipStatus">'Character Info'!$U$19:$U$28</definedName>
    <definedName name="Draft12SizeMult">'Party Inventory'!$O$90</definedName>
    <definedName name="Ch4_In_XP">'Hidden 1564173661'!$H$3</definedName>
    <definedName name="Ch6_PartyEquip">'Hidden 1993484902'!$A$27:$A$208</definedName>
    <definedName name="Ch3_MountName">'Character Info'!$G$7</definedName>
    <definedName name="Ch7_Gems">'Hidden 920736060'!$B$19:$B$24</definedName>
    <definedName name="Ch2_XP">'Hidden 196701235'!$H$3</definedName>
    <definedName name="Ch5_In_Gems">'Hidden 796318378'!$B$19:$B$24</definedName>
    <definedName name="Ch9_MountName">'Character Info'!$G$13</definedName>
    <definedName name="Ch6_Size">'Character Info'!$D$10</definedName>
    <definedName name="Ch7_Size">'Character Info'!$D$11</definedName>
    <definedName name="PartyStorageSingle">Reference!$A$3:$A$29</definedName>
    <definedName name="Ch2_SizeMultiplier">'Hidden 196701235'!$A$2</definedName>
    <definedName name="Ch3_In_Gems">'Hidden 1670416913'!$B$19:$B$24</definedName>
    <definedName name="Ch8_Name">'Character Info'!$C$12</definedName>
    <definedName name="Draft6SizeMult">'Party Inventory'!$O$48</definedName>
    <definedName name="DraftAnimal3">'Party Info'!$C$6</definedName>
    <definedName name="Ch9_SizeMultiplier">'Hidden 948371148'!$A$2</definedName>
    <definedName name="Ch5_Money">'Hidden 796318378'!$B$11:$B$15</definedName>
    <definedName name="Ch7_StorageEquipStatus">'Character Info'!$M$32:$M$41</definedName>
    <definedName name="Ch4_SizeMultiplier">'Hidden 1564173661'!$A$2</definedName>
    <definedName name="Ch3_Weight">'Character Info'!$F$7</definedName>
    <definedName name="Ch6_Str">'Character Info'!$E$10</definedName>
    <definedName name="Ch5_In_Inventory2">'Hidden 796318378'!$F$27:$M$208</definedName>
    <definedName name="Ch8_Gems">'Hidden 1841022303'!$B$19:$B$24</definedName>
    <definedName name="Ch4_MountName">'Character Info'!$G$8</definedName>
    <definedName name="Party_Money">'Party Inventory'!$B$4:$B$8</definedName>
    <definedName name="Ch6_MountSizeMult">'Hidden 1993484902'!$N$2</definedName>
    <definedName name="Ch4_In_Inventory1">'Hidden 1564173661'!$B$27:$D$208</definedName>
    <definedName name="Vehicle1Weight">'Party Info'!$D$19</definedName>
    <definedName name="Ch4_Name">'Character Info'!$C$8</definedName>
    <definedName name="Ch1_XP">'Hidden 757861784'!$H$3</definedName>
    <definedName name="Ch4_MountSize">'Character Info'!$H$8</definedName>
    <definedName name="Ch3_PartyEquip">'Hidden 1670416913'!$A$27:$A$208</definedName>
    <definedName name="Ch3_Str">'Character Info'!$E$7</definedName>
    <definedName name="Ch7_MountSize">'Character Info'!$H$11</definedName>
    <definedName name="Ch5_XP">'Hidden 796318378'!$H$3</definedName>
    <definedName name="Vehicle1AdjustedCapacity">'Party Info'!$E$19</definedName>
    <definedName name="Ch2_MountSize">'Character Info'!$H$6</definedName>
    <definedName name="Ch8_StorageEquipStatus">'Character Info'!$Q$32:$Q$41</definedName>
    <definedName name="DraftAnimal4">'Party Info'!$C$7</definedName>
    <definedName name="Vehicle2">'Party Info'!$C$20</definedName>
    <definedName name="Ch7_Level">'Hidden 920736060'!$H$5</definedName>
    <definedName name="Ch9_Storage">'Character Info'!$T$32:$U$42</definedName>
    <definedName name="Ch8_MountName">'Character Info'!$G$12</definedName>
    <definedName name="Ch8_PartyEquip">'Hidden 1841022303'!$A$27:$A$208</definedName>
    <definedName name="Ch6_XP">'Hidden 1993484902'!$H$3</definedName>
    <definedName name="Ch3_In_XP">'Hidden 1670416913'!$H$3</definedName>
    <definedName name="Ch6_EquipStatus">'Hidden 1993484902'!$N$27:$N$208</definedName>
    <definedName name="Ch3_In_Money">'Hidden 1670416913'!$B$11:$B$15</definedName>
    <definedName name="Ch2_PartyEquip">'Hidden 196701235'!$A$27:$A$208</definedName>
    <definedName name="Ch3_StorageEquipStatus">'Character Info'!$U$6:$U$15</definedName>
    <definedName name="Ch1_Name">'Character Info'!$C$5</definedName>
    <definedName name="Ch8_Money">'Hidden 1841022303'!$B$11:$B$15</definedName>
    <definedName name="Ch4_EquipStatus">'Hidden 1564173661'!$N$27:$N$208</definedName>
    <definedName name="Ch2_Size">'Character Info'!$D$6</definedName>
    <definedName name="Ch1_MountSize">'Character Info'!$H$5</definedName>
    <definedName name="Draft12Size">'Party Info'!$E$15</definedName>
    <definedName name="Ch8_MountStr">'Character Info'!$I$12</definedName>
    <definedName name="Draft10SizeMult">'Party Inventory'!$O$76</definedName>
    <definedName name="Ch6_In_Money">'Hidden 1993484902'!$B$11:$B$15</definedName>
    <definedName name="Ch9_InventoryWeights">'Hidden 948371148'!$E$27:$E$208</definedName>
    <definedName name="Ch9_Weight">'Character Info'!$F$13</definedName>
    <definedName name="Ch4_Gems">'Hidden 1564173661'!$B$19:$B$24</definedName>
    <definedName name="Draft11Size">'Party Info'!$E$14</definedName>
    <definedName name="Ch3_MountSizeMult">'Hidden 1670416913'!$N$2</definedName>
    <definedName name="Ch6_In_Inventory1">'Hidden 1993484902'!$B$27:$D$208</definedName>
    <definedName name="Ch5_PartyEquip">'Hidden 796318378'!$A$27:$A$208</definedName>
    <definedName name="XPTable_m">Reference!$A$32:$A$51</definedName>
    <definedName name="Ch5_Gems">'Hidden 796318378'!$B$19:$B$24</definedName>
    <definedName name="Ch6_Money">'Hidden 1993484902'!$B$11:$B$15</definedName>
    <definedName name="Ch5_MountSizeMult">'Hidden 796318378'!$N$2</definedName>
    <definedName name="Ch7_SizeMultiplier">'Hidden 920736060'!$A$2</definedName>
    <definedName name="Draft7Str">'Party Info'!$F$10</definedName>
    <definedName name="Ch2_Weight">'Character Info'!$F$6</definedName>
    <definedName name="DraftAnimal1">'Party Info'!$C$4</definedName>
    <definedName name="Ch7_MountSizeMult">'Hidden 920736060'!$N$2</definedName>
    <definedName name="Ch3_SizeMultiplier">'Hidden 1670416913'!$A$2</definedName>
    <definedName name="Ch8_InventoryWeights">'Hidden 1841022303'!$E$27:$E$208</definedName>
    <definedName name="DraftAnimal10">'Party Info'!$C$13</definedName>
    <definedName name="Ch4_MountSizeMult">'Hidden 1564173661'!$N$2</definedName>
    <definedName name="Ch4_PartyEquip">'Hidden 1564173661'!$A$27:$A$208</definedName>
    <definedName name="Ch4_Money">'Hidden 1564173661'!$B$11:$B$15</definedName>
    <definedName name="Ch7_Weight">'Character Info'!$F$11</definedName>
    <definedName name="Ch2_MountSizeMult">'Hidden 196701235'!$N$2</definedName>
    <definedName name="DraftAnimal9">'Party Info'!$C$12</definedName>
    <definedName name="Ch1_Level">'Hidden 757861784'!$H$5</definedName>
    <definedName name="Ch5_Name">'Character Info'!$C$9</definedName>
    <definedName name="Ch1_EquipStatus">'Hidden 757861784'!$N$27:$N$208</definedName>
    <definedName name="Ch3_Size">'Character Info'!$D$7</definedName>
    <definedName name="PartyInventoryWeights">'Party Inventory'!$E$20:$E$201</definedName>
    <definedName name="Ch4_Level">'Hidden 1564173661'!$H$5</definedName>
    <definedName name="Ch6_MountSize">'Character Info'!$H$10</definedName>
    <definedName name="Ch5_Str">'Character Info'!$E$9</definedName>
    <definedName name="Ch8_Level">'Hidden 1841022303'!$H$5</definedName>
    <definedName name="Ch1_Str">'Character Info'!$E$5</definedName>
    <definedName name="Ch7_In_Inventory1">'Hidden 920736060'!$B$26:$D$208</definedName>
    <definedName name="Ch7_MountStr">'Character Info'!$I$11</definedName>
    <definedName name="Ch8_XP">'Hidden 1841022303'!$H$3</definedName>
    <definedName name="Ch5_In_Money">'Hidden 796318378'!$B$11:$B$15</definedName>
    <definedName name="Ch7_Money">'Hidden 920736060'!$B$11:$B$15</definedName>
    <definedName name="Draft6Str">'Party Info'!$F$9</definedName>
    <definedName name="Ch4_Str">'Character Info'!$E$8</definedName>
    <definedName name="Ch8_MountSize">'Character Info'!$H$12</definedName>
    <definedName name="Ch2_Gems">'Hidden 196701235'!$B$19:$B$24</definedName>
    <definedName name="Ch9_XP">'Hidden 948371148'!$H$3</definedName>
    <definedName name="SizeMultipliers">Reference!$A$54:$B$56</definedName>
    <definedName name="Draft8SizeMult">'Party Inventory'!$O$62</definedName>
    <definedName name="DraftAnimal12">'Party Info'!$C$15</definedName>
    <definedName name="Ch1_Total_Weight_Carried">'Hidden 757861784'!$D$7</definedName>
    <definedName name="Ch1_SizeMultiplier">'Hidden 757861784'!$A$2</definedName>
    <definedName name="Ch7_PartyEquip">'Hidden 920736060'!$A$27:$A$208</definedName>
    <definedName name="Ch9_MountSize">'Character Info'!$H$13</definedName>
    <definedName name="Ch2_EquipStatus">'Hidden 196701235'!$N$27:$N$208</definedName>
    <definedName name="Draft7Size">'Party Info'!$E$10</definedName>
    <definedName name="Ch6_Name">'Character Info'!$C$10</definedName>
    <definedName name="Ch5_SizeMultiplier">'Hidden 796318378'!$A$2</definedName>
    <definedName name="Draft11SizeMult">'Party Inventory'!$O$83</definedName>
    <definedName name="Ch5_Level">'Hidden 796318378'!$H$5</definedName>
    <definedName name="Ch1_Size">'Character Info'!$D$5</definedName>
    <definedName name="Ch8_SizeMultiplier">'Hidden 1841022303'!$A$2</definedName>
    <definedName name="Ch3_Gems">'Hidden 1670416913'!$B$19:$B$24</definedName>
    <definedName name="Ch9_StorageEquipStatus">'Character Info'!$U$32:$U$41</definedName>
    <definedName name="Ch4_In_Money">'Hidden 1564173661'!$B$11:$B$15</definedName>
    <definedName name="PartyStorageLocations">'Party Info'!$I$4:$K$15</definedName>
    <definedName name="Ch9_Name">'Character Info'!$C$13</definedName>
    <definedName name="Ch2_Level">'Hidden 196701235'!$H$5</definedName>
    <definedName localSheetId="11" name="Ch7_Money">'Hidden 948371148'!$B$11:$B$15</definedName>
    <definedName name="Ch3_InventoryWeights">'Hidden 1670416913'!$E$27:$E$208</definedName>
    <definedName name="Ch6_In_Gems">'Hidden 1993484902'!$B$19:$B$24</definedName>
    <definedName name="Ch9_Level">'Hidden 948371148'!$H$5</definedName>
    <definedName name="Vehicle2AdjustedCapacity">'Party Info'!$E$20</definedName>
    <definedName name="DraftAnimals">'Party Info'!$C$4:$E$15</definedName>
    <definedName name="Draft1Size">'Party Info'!$E$4</definedName>
    <definedName name="Draft9SizeMult">'Party Inventory'!$O$69</definedName>
    <definedName name="Draft5SizeMult">'Party Inventory'!$O$41</definedName>
    <definedName name="DraftAnimal6">'Party Info'!$C$9</definedName>
    <definedName name="Ch6_MountStr">'Character Info'!$I$10</definedName>
    <definedName name="Ch2_MountStr">'Character Info'!$I$6</definedName>
    <definedName name="Draft2SizeMult">'Party Inventory'!$O$20</definedName>
    <definedName name="Ch2_In_Inventory2">'Hidden 196701235'!$F$27:$M$208</definedName>
    <definedName name="Draft7SizeMult">'Party Inventory'!$O$55</definedName>
    <definedName name="Ch8_EquipStatus">'Hidden 1841022303'!$N$27:$N$208</definedName>
    <definedName name="Vehicle3">'Party Info'!$C$21</definedName>
    <definedName name="DraftAnimal7">'Party Info'!$C$10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This is where you can put the names of all the characters in your party, as well as their information.  You  don't have to use all the spaces, and you don't have to use them in order, so players can pick their colors.
When you change a character name, go to the "Inventory Scripts" menu and click "Update Tab Names."
Leave blank any spaces you don't need. This will hide the associated tabs for you. If you want them back, just type in that name space and click "Update Tab Names" again.
When you're done with this page and the Party Info page, you can hide them manually by  right clicking on the tab and selecting "hide sheet". To make the tabs reappear, select the menu icon to the left of the tabs, and select these pages from the menu.</t>
      </text>
    </comment>
    <comment authorId="0" ref="D4">
      <text>
        <t xml:space="preserve">If your character has Powerful Build, you should choose the size above their actual size. If your character is small, choose medium (small and medium creatures have the same rules for encumbrance.)</t>
      </text>
    </comment>
    <comment authorId="0" ref="G4">
      <text>
        <t xml:space="preserve">If a character does not have a mount, leave all mount spaces blank.</t>
      </text>
    </comment>
    <comment authorId="0" ref="L5">
      <text>
        <t xml:space="preserve">Here you can put where your character stores things, such as "backpack," "bag of holding," "shirtsleeves," etc. You don't have to use all the spaces but you have to use at least one.</t>
      </text>
    </comment>
    <comment authorId="0" ref="M5">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P5">
      <text>
        <t xml:space="preserve">Here you can put where your character stores things, such as "backpack," "bag of holding," "shirtsleeves," etc. You don't have to use all the spaces</t>
      </text>
    </comment>
    <comment authorId="0" ref="Q5">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T5">
      <text>
        <t xml:space="preserve">Here you can put where your character stores things, such as "backpack," "bag of holding," "shirtsleeves," etc. You don't have to use all the spaces</t>
      </text>
    </comment>
    <comment authorId="0" ref="U5">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B15">
      <text>
        <t xml:space="preserve">You can put your own party's picture here by pasting an image link in cell B37.</t>
      </text>
    </comment>
    <comment authorId="0" ref="L18">
      <text>
        <t xml:space="preserve">Here you can put where your character stores things, such as "backpack," "bag of holding," "shirtsleeves," etc. You don't have to use all the spaces</t>
      </text>
    </comment>
    <comment authorId="0" ref="M18">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P18">
      <text>
        <t xml:space="preserve">Here you can put where your character stores things, such as "backpack," "bag of holding," "shirtsleeves," etc. You don't have to use all the spaces</t>
      </text>
    </comment>
    <comment authorId="0" ref="Q18">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T18">
      <text>
        <t xml:space="preserve">Here you can put where your character stores things, such as "backpack," "bag of holding," "shirtsleeves," etc. You don't have to use all the spaces</t>
      </text>
    </comment>
    <comment authorId="0" ref="U18">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L31">
      <text>
        <t xml:space="preserve">Here you can put where your character stores things, such as "backpack," "bag of holding," "shirtsleeves," etc. You don't have to use all the spaces</t>
      </text>
    </comment>
    <comment authorId="0" ref="M31">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P31">
      <text>
        <t xml:space="preserve">Here you can put where your character stores things, such as "backpack," "bag of holding," "shirtsleeves," etc. You don't have to use all the spaces</t>
      </text>
    </comment>
    <comment authorId="0" ref="Q31">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 authorId="0" ref="T31">
      <text>
        <t xml:space="preserve">Here you can put where your character stores things, such as "backpack," "bag of holding," "shirtsleeves," etc. You don't have to use all the spaces</t>
      </text>
    </comment>
    <comment authorId="0" ref="U31">
      <text>
        <t xml:space="preserve">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These can be pack animals that simply carry the party's equipment and are not ridden by any  character, or animals that pull one of the party vehicles. Leave blank any spaces you don't need.</t>
      </text>
    </comment>
    <comment authorId="0" ref="J2">
      <text>
        <t xml:space="preserve">This is where you can list the party's specific storage locations.  
Choose "Permanent" if the location is a residence or permanent location, such as a cave, castle, etc. 
Choose "Vehicle" if the location is on one of the vehicles, such  as a chest, sack, or barrel.  
Choose "Draft Animal" if the location is on one of the draft animals, such as saddlebags. 
Choose "Extradimensional" if the location is extradimensional, like a bag of holding or portable hole. Note that if a particular character is carrying the extradimensional storage option and it has it's own weight (such as a bag of holding, which itself weighs about 15 lbs) that it will need to be added to their inventory, though nothing put inside it will add weight.
After choosing a location type, choose the specific location from the drop down that appears to the right. Some location types create various options, some do not.</t>
      </text>
    </comment>
    <comment authorId="0" ref="D3">
      <text>
        <t xml:space="preserve">This is listed on p. 157 of the PHB.  If your animal is not usually a draft animal or mount and therefore is not listed there, you can enter the animal's size and strength and then find it's carrying capacity in the Party Inventory.</t>
      </text>
    </comment>
    <comment authorId="0" ref="E3">
      <text>
        <t xml:space="preserve">Animals with the Beast of Burden trait should use the next size up from their actual size.</t>
      </text>
    </comment>
    <comment authorId="0" ref="C17">
      <text>
        <t xml:space="preserve">Be sure to have all your Draft Animals filled out below before entering Vehicles.  Leave blank all spaces you don't need.
If you need a character's weight to be added to the weight carried by a vehicle, you  will need to add that character to the party inventory :P</t>
      </text>
    </comment>
    <comment authorId="0" ref="E18">
      <text>
        <t xml:space="preserve">Calculated according to the animals pulling it, minus the weight of the vehicle itself.
</t>
      </text>
    </comment>
    <comment authorId="0" ref="F18">
      <text>
        <t xml:space="preserve">Choose draft animals to pull this vehicle.</t>
      </text>
    </comment>
  </commentList>
</comments>
</file>

<file path=xl/comments3.xml><?xml version="1.0" encoding="utf-8"?>
<comments xmlns:r="http://schemas.openxmlformats.org/officeDocument/2006/relationships" xmlns="http://schemas.openxmlformats.org/spreadsheetml/2006/main">
  <authors>
    <author/>
  </authors>
  <commentList>
    <comment authorId="0" ref="M2">
      <text>
        <t xml:space="preserve">Red if we have more party  gold than the average party member has. This means we should probably stop saving until it's not red anymore.</t>
      </text>
    </comment>
    <comment authorId="0" ref="O2">
      <text>
        <t xml:space="preserve">The vehicles and draft animals that you leave blank on the "Party Info" page will appear washed out here. Draft animals that are pulling vehicles will also appear washed out.
</t>
      </text>
    </comment>
    <comment authorId="0" ref="P4">
      <text>
        <t xml:space="preserve">This, and the total weight carried of all other vehicles and draft animals, is calculated by adding together all items in the party inventory which have the corresponding vehicle, draft animal, or location (which may  have a linked vehicle or draft animal) chosen, as well as any items from character inventories which have a party storage location selected instead of a PC storage location.
If you need a character's weight to be added to the weight carried by a vehicle, you  will need to add that character to the party inventory :P</t>
      </text>
    </comment>
  </commentList>
</comments>
</file>

<file path=xl/comments4.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the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 authorId="0" ref="I43">
      <text>
        <t xml:space="preserve">This ceramic jug appears to be able to hold a gallon of liquid and weighs 12 pounds whether full or empty. Sloshing sounds can be heard from within the jug when it is shaken, even if the jug is empty.
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
Once the jug starts producing a liquid, it can't produce a different one, or more of one that has reached its maximum, until the next dawn.
Liquid — Max Amount:
Acid — 8 ounces
Basic poison — 1/2 ounce
Beer — 4 gallons
Honey — 1 gallon
Mayonnaise — 2 gallons
Oil — 1 quart
Vinegar — 2 gallons
Water, fresh — 8 gallons
Water, salt — 12 gallons
Wine — 1 gallon</t>
      </text>
    </comment>
  </commentList>
</comments>
</file>

<file path=xl/comments5.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6.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7.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8.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9.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10.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11.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comments12.xml><?xml version="1.0" encoding="utf-8"?>
<comments xmlns:r="http://schemas.openxmlformats.org/officeDocument/2006/relationships" xmlns="http://schemas.openxmlformats.org/spreadsheetml/2006/main">
  <authors>
    <author/>
  </authors>
  <commentList>
    <comment authorId="0" ref="K2">
      <text>
        <t xml:space="preserve">If you do not have a mount, this section will appear washed out.</t>
      </text>
    </comment>
    <comment authorId="0" ref="H3">
      <text>
        <t xml:space="preserve">Put your XP here, and your level and XP to the next level will be automaticly calculated.</t>
      </text>
    </comment>
    <comment authorId="0" ref="K7">
      <text>
        <t xml:space="preserve">The total weight carried includes the weight of the character, and any items with a storage location that is associated with the mount.</t>
      </text>
    </comment>
    <comment authorId="0" ref="G26">
      <text>
        <t xml:space="preserve">The locations in the drop downs below are the storage options that you chose on the Character Info page, and will contribute (or not contribute) to weight carried accordingly.</t>
      </text>
    </comment>
    <comment authorId="0" ref="H26">
      <text>
        <t xml:space="preserve">The locations in the drop downs below are the party draft animals, vehicles, and storage locations. You may choose from this column instead of the Location column if you wish to store an item from your inventory in a party storage location without adding it to the party inventory. Any item with a storage choice from this column will contribute weight to the appropriate vehicle or draft animal.</t>
      </text>
    </comment>
  </commentList>
</comments>
</file>

<file path=xl/sharedStrings.xml><?xml version="1.0" encoding="utf-8"?>
<sst xmlns="http://schemas.openxmlformats.org/spreadsheetml/2006/main" count="822" uniqueCount="113">
  <si>
    <t>Character Info</t>
  </si>
  <si>
    <t>Character Information</t>
  </si>
  <si>
    <t>Storage Options</t>
  </si>
  <si>
    <t>Name</t>
  </si>
  <si>
    <t>Size</t>
  </si>
  <si>
    <t>Strength</t>
  </si>
  <si>
    <t>Weight</t>
  </si>
  <si>
    <t>Mount Name</t>
  </si>
  <si>
    <t>Mount Size</t>
  </si>
  <si>
    <t>Mount Str</t>
  </si>
  <si>
    <t>Storage Option</t>
  </si>
  <si>
    <t>Type</t>
  </si>
  <si>
    <t>http://i.imgur.com/gFnzKMz.jpg</t>
  </si>
  <si>
    <t>Party Info</t>
  </si>
  <si>
    <t>http://i.imgur.com/Nwx2LDC.jpg?1</t>
  </si>
  <si>
    <t>Draft Animals</t>
  </si>
  <si>
    <t>Party Storage Locations</t>
  </si>
  <si>
    <t>Carrying Capacity</t>
  </si>
  <si>
    <t>Location Type</t>
  </si>
  <si>
    <t>Location</t>
  </si>
  <si>
    <t>Vehicles</t>
  </si>
  <si>
    <t>Vehicle</t>
  </si>
  <si>
    <t>Hitched Animal 1</t>
  </si>
  <si>
    <t>Hitched Animal 2</t>
  </si>
  <si>
    <t>Hitched Animal 3</t>
  </si>
  <si>
    <t>Hitched Animal 4</t>
  </si>
  <si>
    <t>Hitched Animal 5</t>
  </si>
  <si>
    <t>Hitched Animal 6</t>
  </si>
  <si>
    <t>Money</t>
  </si>
  <si>
    <t>Conversions</t>
  </si>
  <si>
    <t>Total GP:</t>
  </si>
  <si>
    <t>Qty</t>
  </si>
  <si>
    <t>CP</t>
  </si>
  <si>
    <t>SP</t>
  </si>
  <si>
    <t>EP</t>
  </si>
  <si>
    <t>GP</t>
  </si>
  <si>
    <t>PP / 10GP Gem</t>
  </si>
  <si>
    <t>50 GP Gems</t>
  </si>
  <si>
    <t>100 GP Gems</t>
  </si>
  <si>
    <t>500 GP Gems</t>
  </si>
  <si>
    <t>1000 GP Gems</t>
  </si>
  <si>
    <t>5000 GP Gems</t>
  </si>
  <si>
    <t>Copper</t>
  </si>
  <si>
    <t>Total Weight Carried</t>
  </si>
  <si>
    <t>Silver</t>
  </si>
  <si>
    <t>Electrum</t>
  </si>
  <si>
    <t>Gold</t>
  </si>
  <si>
    <t>Platinum</t>
  </si>
  <si>
    <t>Gemstones</t>
  </si>
  <si>
    <t>10 GP Gemstones</t>
  </si>
  <si>
    <t>50 GP Gemstones</t>
  </si>
  <si>
    <t>100 GP Gemstones</t>
  </si>
  <si>
    <t>500 GP Gemstones</t>
  </si>
  <si>
    <t>Encumbered</t>
  </si>
  <si>
    <t>1000 GP Gemstones</t>
  </si>
  <si>
    <t>Heavily Encumbered</t>
  </si>
  <si>
    <t>5000 GP Gemstones</t>
  </si>
  <si>
    <t>Push, Drag, Lift Max</t>
  </si>
  <si>
    <t>Item</t>
  </si>
  <si>
    <t>Item Weight</t>
  </si>
  <si>
    <t>Total Weight</t>
  </si>
  <si>
    <t>Worth</t>
  </si>
  <si>
    <t>http://i.imgur.com/iwsp4gW.jpg?1</t>
  </si>
  <si>
    <t>http://i.imgur.com/gX3P7pu.png?1</t>
  </si>
  <si>
    <t>Encumbrance</t>
  </si>
  <si>
    <t>Experience</t>
  </si>
  <si>
    <t>XP</t>
  </si>
  <si>
    <t>XP to Next Level</t>
  </si>
  <si>
    <t>Current Level</t>
  </si>
  <si>
    <t>Storage</t>
  </si>
  <si>
    <t>Party Storage</t>
  </si>
  <si>
    <t>Description</t>
  </si>
  <si>
    <t/>
  </si>
  <si>
    <t>Party  Storage</t>
  </si>
  <si>
    <t>Backpack</t>
  </si>
  <si>
    <t>Changelog</t>
  </si>
  <si>
    <t>Date</t>
  </si>
  <si>
    <t>Change</t>
  </si>
  <si>
    <t>Created copy of 5e Inventory Template</t>
  </si>
  <si>
    <t>"Strength," "Weight," and "Mount Strength" columns in Character Information table to be middle-alligned.</t>
  </si>
  <si>
    <t>"Weight" column in Character Information to "# lb" format</t>
  </si>
  <si>
    <t>All "Item Weight" and "Total Weight" columns to "0.00 lb" format</t>
  </si>
  <si>
    <t>All Encumbrance cells to "# lb" format</t>
  </si>
  <si>
    <t>All Qty columns to "#,##0" format</t>
  </si>
  <si>
    <t>All "XP" and "XP to Next Level" cells to "#,##0" format</t>
  </si>
  <si>
    <t>All Character Storage Option "Has Weight?" column header renamed to "Type"</t>
  </si>
  <si>
    <t>Character Storage Option "Type" dropdown options changed from "yes, no, mount" to "On Character, On Mount, Permanent Location, Extradimensional"</t>
  </si>
  <si>
    <t>Character Storage option "Type" notes changed from 
"Choose "yes" if things put in this storage option contribute to the character's weight carried. Choose "no" if this storage option is extra-dimensional (like a portable hole), or if it is a permanent location not on your character. Choose "mount" if this storage location is on your mount (such as saddlebags.)" 
to 
Choose "On Character" for storage options that contribute to your character's weight carried, such as a backpack or belt.
Choose "On Mount" for storage options that contribute solely to your mount's weight carried, such as saddlebags.
Choose "Permanent Location" for storage options that don't contribute to any weight carried because they are kept in a stationary location, like a home or bank.
Choose "Extradimensional" for storage options that don't contribute to any weight carried because the storage space is extradimensional, like a Bag of Holding or Portable Hole.</t>
  </si>
  <si>
    <t>All encumbrance formulas changed to reflect new "Type" options</t>
  </si>
  <si>
    <t>Conditional formatting for Character Storage options so that unused characters are washed out</t>
  </si>
  <si>
    <t>Fixed Update Tab Script so that it can hide multiple tabs.</t>
  </si>
  <si>
    <t>Added protection for A1 on Party Info, Character Info, Party  Inventory, Changelog, and Reference pages.</t>
  </si>
  <si>
    <t>Used Data Validation on all player inventory  cell A1 to ensure formula is not changed.</t>
  </si>
  <si>
    <t>Fixed bug where data validation used PartyStorage which had two columns, by making PartyStorageSingle which has one column and changing all related data validation to use it instead.</t>
  </si>
  <si>
    <t>Used conditional formatting to make encumbrance levels highlighted when met</t>
  </si>
  <si>
    <t>Made B-C equal in size to K-L on inventories</t>
  </si>
  <si>
    <t>Used conditional formatting to keep draft animals that are pulling vehicles from showing up in party storage or having un-washed out encumbrance tables.</t>
  </si>
  <si>
    <t>TO DO: Add attunement column to character inventories</t>
  </si>
  <si>
    <t>TO DO: Fix Party Storage column header alignment</t>
  </si>
  <si>
    <t>TO DO : Add option to customize images on character inventories</t>
  </si>
  <si>
    <t>TO DO: add ability to keep track  of storage location carrying capacity</t>
  </si>
  <si>
    <t>TO DO: put total weight at the end of the row</t>
  </si>
  <si>
    <t>Reference</t>
  </si>
  <si>
    <t xml:space="preserve">KEEP THIS PAGE HIDDEN, IT IS USED ONLY FOR FORMULAS
</t>
  </si>
  <si>
    <t>Permanent</t>
  </si>
  <si>
    <t>Draft Animal</t>
  </si>
  <si>
    <t>Extradimensional</t>
  </si>
  <si>
    <t>Party Storage Options</t>
  </si>
  <si>
    <t>Level</t>
  </si>
  <si>
    <t>Multiplier</t>
  </si>
  <si>
    <t>Medium</t>
  </si>
  <si>
    <t>Large</t>
  </si>
  <si>
    <t>Huge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</si>
</sst>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 &quot;lb&quot;"/>
    <numFmt numFmtId="165" formatCode="0.00 lb"/>
    <numFmt numFmtId="166" formatCode="0 lb"/>
    <numFmt numFmtId="167" formatCode="###"/>
    <numFmt numFmtId="168" formatCode="m/d/yyyy"/>
  </numFmts>
  <fonts count="67">
    <font>
      <sz val="10.0"/>
      <color rgb="FF000000"/>
      <name val="Arial"/>
    </font>
    <font>
      <sz val="6.0"/>
      <color rgb="FFFFFFFF"/>
      <name val="Helvetica Neue"/>
    </font>
    <font>
      <name val="Helvetica Neue"/>
    </font>
    <font>
      <b/>
      <sz val="12.0"/>
      <color rgb="FFFFFFFF"/>
      <name val="Marcellus SC"/>
    </font>
    <font/>
    <font>
      <color rgb="FFFFFFFF"/>
    </font>
    <font>
      <b/>
      <color rgb="FFFFFFFF"/>
      <name val="Helvetica Neue"/>
    </font>
    <font>
      <b/>
      <sz val="12.0"/>
      <name val="Marcellus SC"/>
    </font>
    <font>
      <b/>
      <sz val="11.0"/>
      <color rgb="FF000000"/>
      <name val="Marcellus SC"/>
    </font>
    <font>
      <b/>
      <sz val="11.0"/>
      <color rgb="FF000000"/>
      <name val="Philosopher"/>
    </font>
    <font>
      <name val="Lato"/>
    </font>
    <font>
      <b/>
      <name val="Lato"/>
    </font>
    <font>
      <sz val="11.0"/>
      <name val="Helvetica Neue"/>
    </font>
    <font>
      <b/>
      <sz val="11.0"/>
      <name val="Philosopher"/>
    </font>
    <font>
      <color rgb="FFFFFFFF"/>
      <name val="Helvetica Neue"/>
    </font>
    <font>
      <sz val="6.0"/>
      <color rgb="FFFFFFFF"/>
    </font>
    <font>
      <sz val="12.0"/>
      <color rgb="FFFFFFFF"/>
      <name val="Marcellus SC"/>
    </font>
    <font>
      <u/>
      <color rgb="FFEFEFEF"/>
    </font>
    <font>
      <b/>
      <sz val="6.0"/>
      <color rgb="FFFFFFFF"/>
      <name val="Helvetica Neue"/>
    </font>
    <font>
      <u/>
      <sz val="6.0"/>
      <color rgb="FFFFFFFF"/>
    </font>
    <font>
      <b/>
      <name val="Helvetica Neue"/>
    </font>
    <font>
      <sz val="11.0"/>
      <name val="Marcellus SC"/>
    </font>
    <font>
      <sz val="11.0"/>
      <color rgb="FF000000"/>
      <name val="Marcellus SC"/>
    </font>
    <font>
      <sz val="6.0"/>
      <color rgb="FFFFFFFF"/>
      <name val="Lato"/>
    </font>
    <font>
      <sz val="6.0"/>
      <color rgb="FF000000"/>
      <name val="Helvetica Neue"/>
    </font>
    <font>
      <sz val="6.0"/>
    </font>
    <font>
      <sz val="10.0"/>
      <color rgb="FFFFFFFF"/>
      <name val="Helvetica Neue"/>
    </font>
    <font>
      <sz val="10.0"/>
      <color rgb="FFFFFFFF"/>
      <name val="Lato"/>
    </font>
    <font>
      <sz val="10.0"/>
      <color rgb="FF000000"/>
      <name val="Lato"/>
    </font>
    <font>
      <b/>
      <sz val="10.0"/>
      <color rgb="FFFFFFFF"/>
      <name val="Helvetica Neue"/>
    </font>
    <font>
      <sz val="11.0"/>
      <color rgb="FFFFFFFF"/>
      <name val="Inconsolata"/>
    </font>
    <font>
      <color rgb="FF000000"/>
      <name val="Lato"/>
    </font>
    <font>
      <sz val="10.0"/>
      <color rgb="FF000000"/>
      <name val="Helvetica Neue"/>
    </font>
    <font>
      <b/>
      <sz val="11.0"/>
      <color rgb="FFFFFFFF"/>
      <name val="Marcellus SC"/>
    </font>
    <font>
      <b/>
      <u/>
      <sz val="11.0"/>
      <color rgb="FFFFFFFF"/>
      <name val="Marcellus SC"/>
    </font>
    <font>
      <b/>
      <color rgb="FF000000"/>
      <name val="Lato"/>
    </font>
    <font>
      <b/>
      <i/>
      <name val="Lato"/>
    </font>
    <font>
      <b/>
      <i/>
      <color rgb="FF000000"/>
      <name val="Lato"/>
    </font>
    <font>
      <name val="Arial"/>
    </font>
    <font>
      <b/>
      <i/>
      <color rgb="FF0000FF"/>
      <name val="Lato"/>
    </font>
    <font>
      <b/>
      <sz val="6.0"/>
      <color rgb="FFFFFFFF"/>
      <name val="Lato"/>
    </font>
    <font>
      <b/>
      <color rgb="FFFFFFFF"/>
      <name val="Lato"/>
    </font>
    <font>
      <sz val="6.0"/>
      <color rgb="FFFFFFFF"/>
      <name val="Inconsolata"/>
    </font>
    <font>
      <u/>
      <sz val="6.0"/>
      <color rgb="FFFFFFFF"/>
      <name val="Inconsolata"/>
    </font>
    <font>
      <b/>
      <color rgb="FF000000"/>
      <name val="Helvetica Neue"/>
    </font>
    <font>
      <b/>
      <sz val="10.0"/>
      <color rgb="FF000000"/>
      <name val="Lato"/>
    </font>
    <font>
      <b/>
      <sz val="10.0"/>
      <color rgb="FF000000"/>
      <name val="Helvetica Neue"/>
    </font>
    <font>
      <color rgb="FF000000"/>
      <name val="Helvetica Neue"/>
    </font>
    <font>
      <color rgb="FF000000"/>
    </font>
    <font>
      <sz val="12.0"/>
      <name val="Marcellus SC"/>
    </font>
    <font>
      <sz val="11.0"/>
      <name val="Philosopher"/>
    </font>
    <font>
      <u/>
      <sz val="6.0"/>
      <color rgb="FFEFEFEF"/>
    </font>
    <font>
      <u/>
      <sz val="6.0"/>
      <color rgb="FFEFEFEF"/>
      <name val="Inconsolata"/>
    </font>
    <font>
      <sz val="11.0"/>
      <color rgb="FFFFFFFF"/>
      <name val="Marcellus SC"/>
    </font>
    <font>
      <b/>
      <color rgb="FFFFFFFF"/>
      <name val="Marcellus SC"/>
    </font>
    <font>
      <color rgb="FFFFFFFF"/>
      <name val="Lato"/>
    </font>
    <font>
      <u/>
      <name val="Lato"/>
    </font>
    <font>
      <b/>
      <i/>
      <strike/>
      <name val="Lato"/>
    </font>
    <font>
      <sz val="12.0"/>
      <color rgb="FFFFFFFF"/>
      <name val="Helvetica Neue"/>
    </font>
    <font>
      <color rgb="FF000000"/>
      <name val="Arial"/>
    </font>
    <font>
      <sz val="11.0"/>
      <color rgb="FF000000"/>
      <name val="Arial"/>
    </font>
    <font>
      <b/>
    </font>
    <font>
      <b/>
      <sz val="18.0"/>
      <name val="Lato"/>
    </font>
    <font>
      <strike/>
      <name val="Lato"/>
    </font>
    <font>
      <b/>
      <sz val="14.0"/>
    </font>
    <font>
      <b/>
      <i/>
    </font>
    <font>
      <sz val="11.0"/>
      <color rgb="FF000000"/>
      <name val="Inconsolata"/>
    </font>
  </fonts>
  <fills count="26">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990000"/>
        <bgColor rgb="FF990000"/>
      </patternFill>
    </fill>
    <fill>
      <patternFill patternType="solid">
        <fgColor rgb="FFB45F06"/>
        <bgColor rgb="FFB45F06"/>
      </patternFill>
    </fill>
    <fill>
      <patternFill patternType="solid">
        <fgColor rgb="FFBF9000"/>
        <bgColor rgb="FFBF9000"/>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FE2F3"/>
        <bgColor rgb="FFCFE2F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38761D"/>
        <bgColor rgb="FF38761D"/>
      </patternFill>
    </fill>
    <fill>
      <patternFill patternType="solid">
        <fgColor rgb="FF45818E"/>
        <bgColor rgb="FF45818E"/>
      </patternFill>
    </fill>
    <fill>
      <patternFill patternType="solid">
        <fgColor rgb="FF3D85C6"/>
        <bgColor rgb="FF3D85C6"/>
      </patternFill>
    </fill>
    <fill>
      <patternFill patternType="solid">
        <fgColor rgb="FF0B5394"/>
        <bgColor rgb="FF0B5394"/>
      </patternFill>
    </fill>
    <fill>
      <patternFill patternType="solid">
        <fgColor rgb="FF1155CC"/>
        <bgColor rgb="FF1155CC"/>
      </patternFill>
    </fill>
    <fill>
      <patternFill patternType="solid">
        <fgColor rgb="FF674EA7"/>
        <bgColor rgb="FF674EA7"/>
      </patternFill>
    </fill>
    <fill>
      <patternFill patternType="solid">
        <fgColor rgb="FFA64D79"/>
        <bgColor rgb="FFA64D79"/>
      </patternFill>
    </fill>
    <fill>
      <patternFill patternType="solid">
        <fgColor rgb="FFEFEFEF"/>
        <bgColor rgb="FFEFEFEF"/>
      </patternFill>
    </fill>
    <fill>
      <patternFill patternType="solid">
        <fgColor rgb="FFBDBDBD"/>
        <bgColor rgb="FFBDBDBD"/>
      </patternFill>
    </fill>
    <fill>
      <patternFill patternType="solid">
        <fgColor rgb="FFF3F3F3"/>
        <bgColor rgb="FFF3F3F3"/>
      </patternFill>
    </fill>
  </fills>
  <borders count="2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dotted">
        <color rgb="FF434343"/>
      </right>
      <bottom style="dotted">
        <color rgb="FF434343"/>
      </bottom>
    </border>
    <border>
      <left style="dotted">
        <color rgb="FF434343"/>
      </left>
      <right style="dotted">
        <color rgb="FF434343"/>
      </right>
      <bottom style="dotted">
        <color rgb="FF434343"/>
      </bottom>
    </border>
    <border>
      <left style="dotted">
        <color rgb="FF434343"/>
      </left>
      <right style="thin">
        <color rgb="FF000000"/>
      </right>
      <bottom style="dotted">
        <color rgb="FF434343"/>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dotted">
        <color rgb="FF990000"/>
      </right>
      <bottom style="dotted">
        <color rgb="FF990000"/>
      </bottom>
    </border>
    <border>
      <left style="dotted">
        <color rgb="FF990000"/>
      </left>
      <right style="dotted">
        <color rgb="FF990000"/>
      </right>
      <bottom style="dotted">
        <color rgb="FF990000"/>
      </bottom>
    </border>
    <border>
      <left style="dotted">
        <color rgb="FF990000"/>
      </left>
      <right style="thin">
        <color rgb="FF000000"/>
      </right>
      <bottom style="dotted">
        <color rgb="FF990000"/>
      </bottom>
    </border>
    <border>
      <left style="thin">
        <color rgb="FF000000"/>
      </left>
      <right style="dotted">
        <color rgb="FFB45F06"/>
      </right>
      <bottom style="dotted">
        <color rgb="FFB45F06"/>
      </bottom>
    </border>
    <border>
      <left style="dotted">
        <color rgb="FFB45F06"/>
      </left>
      <right style="dotted">
        <color rgb="FFB45F06"/>
      </right>
      <bottom style="dotted">
        <color rgb="FFB45F06"/>
      </bottom>
    </border>
    <border>
      <left style="dotted">
        <color rgb="FFB45F06"/>
      </left>
      <right style="thin">
        <color rgb="FF000000"/>
      </right>
      <bottom style="dotted">
        <color rgb="FFB45F06"/>
      </bottom>
    </border>
    <border>
      <left style="thin">
        <color rgb="FF000000"/>
      </left>
      <right style="dotted">
        <color rgb="FFBF9000"/>
      </right>
      <bottom style="dotted">
        <color rgb="FFBF9000"/>
      </bottom>
    </border>
    <border>
      <left style="dotted">
        <color rgb="FFBF9000"/>
      </left>
      <right style="dotted">
        <color rgb="FFBF9000"/>
      </right>
      <bottom style="dotted">
        <color rgb="FFBF9000"/>
      </bottom>
    </border>
    <border>
      <left style="dotted">
        <color rgb="FFBF9000"/>
      </left>
      <right style="thin">
        <color rgb="FF000000"/>
      </right>
      <bottom style="dotted">
        <color rgb="FFBF9000"/>
      </bottom>
    </border>
    <border>
      <left style="thin">
        <color rgb="FF000000"/>
      </left>
      <right style="dotted">
        <color rgb="FF434343"/>
      </right>
      <top style="dotted">
        <color rgb="FF434343"/>
      </top>
      <bottom style="dotted">
        <color rgb="FF434343"/>
      </bottom>
    </border>
    <border>
      <left style="dotted">
        <color rgb="FF434343"/>
      </left>
      <right style="dotted">
        <color rgb="FF434343"/>
      </right>
      <top style="dotted">
        <color rgb="FF434343"/>
      </top>
      <bottom style="dotted">
        <color rgb="FF434343"/>
      </bottom>
    </border>
    <border>
      <left style="dotted">
        <color rgb="FF434343"/>
      </left>
      <right style="thin">
        <color rgb="FF000000"/>
      </right>
      <top style="dotted">
        <color rgb="FF434343"/>
      </top>
      <bottom style="dotted">
        <color rgb="FF434343"/>
      </bottom>
    </border>
    <border>
      <left style="thin">
        <color rgb="FF000000"/>
      </left>
      <right style="dotted">
        <color rgb="FF990000"/>
      </right>
    </border>
    <border>
      <left style="dotted">
        <color rgb="FF990000"/>
      </left>
      <right style="dotted">
        <color rgb="FF990000"/>
      </right>
    </border>
    <border>
      <left style="dotted">
        <color rgb="FF990000"/>
      </left>
      <right style="thin">
        <color rgb="FF000000"/>
      </right>
    </border>
    <border>
      <left style="thin">
        <color rgb="FF000000"/>
      </left>
      <right style="dotted">
        <color rgb="FFB45F06"/>
      </right>
    </border>
    <border>
      <right style="thin">
        <color rgb="FF000000"/>
      </right>
    </border>
    <border>
      <left style="thin">
        <color rgb="FF000000"/>
      </left>
      <right style="dotted">
        <color rgb="FFBF9000"/>
      </right>
    </border>
    <border>
      <left style="dotted">
        <color rgb="FFB45F06"/>
      </left>
      <right style="dotted">
        <color rgb="FFB45F06"/>
      </right>
    </border>
    <border>
      <left style="dotted">
        <color rgb="FFB45F06"/>
      </left>
      <right style="thin">
        <color rgb="FF000000"/>
      </right>
    </border>
    <border>
      <left style="dotted">
        <color rgb="FFBF9000"/>
      </left>
      <right style="dotted">
        <color rgb="FFBF9000"/>
      </right>
    </border>
    <border>
      <left style="dotted">
        <color rgb="FFBF9000"/>
      </left>
      <right style="thin">
        <color rgb="FF000000"/>
      </right>
    </border>
    <border>
      <left style="thin">
        <color rgb="FF000000"/>
      </left>
      <right style="dotted">
        <color rgb="FF434343"/>
      </right>
      <top style="dotted">
        <color rgb="FF434343"/>
      </top>
      <bottom style="thin">
        <color rgb="FF000000"/>
      </bottom>
    </border>
    <border>
      <left style="dotted">
        <color rgb="FF434343"/>
      </left>
      <right style="dotted">
        <color rgb="FF434343"/>
      </right>
      <top style="dotted">
        <color rgb="FF434343"/>
      </top>
      <bottom style="thin">
        <color rgb="FF000000"/>
      </bottom>
    </border>
    <border>
      <left style="dotted">
        <color rgb="FF434343"/>
      </left>
      <right style="thin">
        <color rgb="FF000000"/>
      </right>
      <top style="dotted">
        <color rgb="FF434343"/>
      </top>
      <bottom style="thin">
        <color rgb="FF000000"/>
      </bottom>
    </border>
    <border>
      <left style="thin">
        <color rgb="FF000000"/>
      </left>
      <right style="dotted">
        <color rgb="FF990000"/>
      </right>
      <bottom style="thin">
        <color rgb="FF000000"/>
      </bottom>
    </border>
    <border>
      <left style="dotted">
        <color rgb="FF990000"/>
      </left>
      <right style="dotted">
        <color rgb="FF990000"/>
      </right>
      <bottom style="thin">
        <color rgb="FF000000"/>
      </bottom>
    </border>
    <border>
      <left style="dotted">
        <color rgb="FF990000"/>
      </left>
      <right style="thin">
        <color rgb="FF000000"/>
      </right>
      <bottom style="thin">
        <color rgb="FF000000"/>
      </bottom>
    </border>
    <border>
      <left style="thin">
        <color rgb="FF000000"/>
      </left>
      <right style="dotted">
        <color rgb="FFB45F06"/>
      </right>
      <bottom style="thin">
        <color rgb="FF000000"/>
      </bottom>
    </border>
    <border>
      <left style="dotted">
        <color rgb="FFB45F06"/>
      </left>
      <right style="dotted">
        <color rgb="FFB45F06"/>
      </right>
      <bottom style="thin">
        <color rgb="FF000000"/>
      </bottom>
    </border>
    <border>
      <left style="dotted">
        <color rgb="FFB45F06"/>
      </left>
      <right style="thin">
        <color rgb="FF000000"/>
      </right>
      <bottom style="thin">
        <color rgb="FF000000"/>
      </bottom>
    </border>
    <border>
      <left style="thin">
        <color rgb="FF000000"/>
      </left>
      <right style="dotted">
        <color rgb="FFBF9000"/>
      </right>
      <bottom style="thin">
        <color rgb="FF000000"/>
      </bottom>
    </border>
    <border>
      <left style="dotted">
        <color rgb="FFBF9000"/>
      </left>
      <right style="dotted">
        <color rgb="FFBF9000"/>
      </right>
      <bottom style="thin">
        <color rgb="FF000000"/>
      </bottom>
    </border>
    <border>
      <left style="dotted">
        <color rgb="FFBF9000"/>
      </left>
      <right style="thin">
        <color rgb="FF000000"/>
      </right>
      <bottom style="thin">
        <color rgb="FF000000"/>
      </bottom>
    </border>
    <border>
      <left style="thin">
        <color rgb="FF000000"/>
      </left>
      <right style="dotted">
        <color rgb="FF38761D"/>
      </right>
      <bottom style="dotted">
        <color rgb="FF38761D"/>
      </bottom>
    </border>
    <border>
      <left style="dotted">
        <color rgb="FF38761D"/>
      </left>
      <right style="dotted">
        <color rgb="FF38761D"/>
      </right>
      <bottom style="dotted">
        <color rgb="FF38761D"/>
      </bottom>
    </border>
    <border>
      <left style="dotted">
        <color rgb="FF38761D"/>
      </left>
      <right style="thin">
        <color rgb="FF000000"/>
      </right>
      <bottom style="dotted">
        <color rgb="FF38761D"/>
      </bottom>
    </border>
    <border>
      <left style="thin">
        <color rgb="FF000000"/>
      </left>
      <right style="dotted">
        <color rgb="FF134F5C"/>
      </right>
      <bottom style="dotted">
        <color rgb="FF134F5C"/>
      </bottom>
    </border>
    <border>
      <left style="dotted">
        <color rgb="FF134F5C"/>
      </left>
      <right style="dotted">
        <color rgb="FF134F5C"/>
      </right>
      <bottom style="dotted">
        <color rgb="FF134F5C"/>
      </bottom>
    </border>
    <border>
      <left style="dotted">
        <color rgb="FF134F5C"/>
      </left>
      <right style="thin">
        <color rgb="FF000000"/>
      </right>
      <bottom style="dotted">
        <color rgb="FF134F5C"/>
      </bottom>
    </border>
    <border>
      <left style="thin">
        <color rgb="FF000000"/>
      </left>
      <right style="dotted">
        <color rgb="FF5B95F9"/>
      </right>
      <bottom style="dotted">
        <color rgb="FF5B95F9"/>
      </bottom>
    </border>
    <border>
      <bottom style="dotted">
        <color rgb="FF5B95F9"/>
      </bottom>
    </border>
    <border>
      <left style="dotted">
        <color rgb="FF5B95F9"/>
      </left>
      <right style="thin">
        <color rgb="FF000000"/>
      </right>
      <bottom style="dotted">
        <color rgb="FF5B95F9"/>
      </bottom>
    </border>
    <border>
      <left style="thin">
        <color rgb="FF000000"/>
      </left>
      <right style="dotted">
        <color rgb="FF38761D"/>
      </right>
    </border>
    <border>
      <left style="thin">
        <color rgb="FF000000"/>
      </left>
      <right style="dotted">
        <color rgb="FF134F5C"/>
      </right>
    </border>
    <border>
      <left style="thin">
        <color rgb="FF000000"/>
      </left>
      <right style="dotted">
        <color rgb="FF5B95F9"/>
      </right>
    </border>
    <border>
      <left style="dotted">
        <color rgb="FF38761D"/>
      </left>
      <right style="dotted">
        <color rgb="FF38761D"/>
      </right>
    </border>
    <border>
      <left style="dotted">
        <color rgb="FF38761D"/>
      </left>
      <right style="thin">
        <color rgb="FF000000"/>
      </right>
    </border>
    <border>
      <left style="dotted">
        <color rgb="FF134F5C"/>
      </left>
      <right style="dotted">
        <color rgb="FF134F5C"/>
      </right>
    </border>
    <border>
      <left style="dotted">
        <color rgb="FF5B95F9"/>
      </left>
      <right style="thin">
        <color rgb="FF000000"/>
      </right>
    </border>
    <border>
      <left style="dotted">
        <color rgb="FF134F5C"/>
      </left>
      <right style="thin">
        <color rgb="FF000000"/>
      </right>
    </border>
    <border>
      <left style="thin">
        <color rgb="FF000000"/>
      </left>
      <right style="dotted">
        <color rgb="FF38761D"/>
      </right>
      <bottom style="thin">
        <color rgb="FF000000"/>
      </bottom>
    </border>
    <border>
      <left style="dotted">
        <color rgb="FF38761D"/>
      </left>
      <right style="dotted">
        <color rgb="FF38761D"/>
      </right>
      <bottom style="thin">
        <color rgb="FF000000"/>
      </bottom>
    </border>
    <border>
      <left style="dotted">
        <color rgb="FF38761D"/>
      </left>
      <right style="thin">
        <color rgb="FF000000"/>
      </right>
      <bottom style="thin">
        <color rgb="FF000000"/>
      </bottom>
    </border>
    <border>
      <left style="thin">
        <color rgb="FF000000"/>
      </left>
      <right style="dotted">
        <color rgb="FF134F5C"/>
      </right>
      <bottom style="thin">
        <color rgb="FF000000"/>
      </bottom>
    </border>
    <border>
      <left style="dotted">
        <color rgb="FF134F5C"/>
      </left>
      <right style="dotted">
        <color rgb="FF134F5C"/>
      </right>
      <bottom style="thin">
        <color rgb="FF000000"/>
      </bottom>
    </border>
    <border>
      <left style="dotted">
        <color rgb="FF134F5C"/>
      </left>
      <right style="thin">
        <color rgb="FF000000"/>
      </right>
      <bottom style="thin">
        <color rgb="FF000000"/>
      </bottom>
    </border>
    <border>
      <left style="thin">
        <color rgb="FF000000"/>
      </left>
      <right style="dotted">
        <color rgb="FF5B95F9"/>
      </right>
      <bottom style="thin">
        <color rgb="FF000000"/>
      </bottom>
    </border>
    <border>
      <left style="dotted">
        <color rgb="FF5B95F9"/>
      </left>
      <right style="thin">
        <color rgb="FF000000"/>
      </right>
      <bottom style="thin">
        <color rgb="FF000000"/>
      </bottom>
    </border>
    <border>
      <left style="thin">
        <color rgb="FF000000"/>
      </left>
      <right style="dotted">
        <color rgb="FF1155CC"/>
      </right>
      <bottom style="dotted">
        <color rgb="FF1155CC"/>
      </bottom>
    </border>
    <border>
      <left style="dotted">
        <color rgb="FF1155CC"/>
      </left>
      <right style="dotted">
        <color rgb="FF1155CC"/>
      </right>
      <bottom style="dotted">
        <color rgb="FF1155CC"/>
      </bottom>
    </border>
    <border>
      <left style="dotted">
        <color rgb="FF1155CC"/>
      </left>
      <right style="thin">
        <color rgb="FF000000"/>
      </right>
      <bottom style="dotted">
        <color rgb="FF1155CC"/>
      </bottom>
    </border>
    <border>
      <left style="thin">
        <color rgb="FF000000"/>
      </left>
      <right style="dotted">
        <color rgb="FF674EA7"/>
      </right>
      <bottom style="dotted">
        <color rgb="FF674EA7"/>
      </bottom>
    </border>
    <border>
      <left style="dotted">
        <color rgb="FF674EA7"/>
      </left>
      <right style="dotted">
        <color rgb="FF674EA7"/>
      </right>
      <bottom style="dotted">
        <color rgb="FF674EA7"/>
      </bottom>
    </border>
    <border>
      <left style="dotted">
        <color rgb="FF674EA7"/>
      </left>
      <right style="thin">
        <color rgb="FF000000"/>
      </right>
      <bottom style="dotted">
        <color rgb="FF674EA7"/>
      </bottom>
    </border>
    <border>
      <left style="thin">
        <color rgb="FF000000"/>
      </left>
      <right style="dotted">
        <color rgb="FFA64D79"/>
      </right>
      <bottom style="dotted">
        <color rgb="FFA64D79"/>
      </bottom>
    </border>
    <border>
      <left style="dotted">
        <color rgb="FFA64D79"/>
      </left>
      <right style="dotted">
        <color rgb="FFA64D79"/>
      </right>
      <bottom style="dotted">
        <color rgb="FFA64D79"/>
      </bottom>
    </border>
    <border>
      <left style="dotted">
        <color rgb="FFA64D79"/>
      </left>
      <right style="thin">
        <color rgb="FF000000"/>
      </right>
      <bottom style="dotted">
        <color rgb="FFA64D79"/>
      </bottom>
    </border>
    <border>
      <left style="thin">
        <color rgb="FF000000"/>
      </left>
      <right style="dotted">
        <color rgb="FF1155CC"/>
      </right>
    </border>
    <border>
      <left style="thin">
        <color rgb="FF000000"/>
      </left>
      <right style="dotted">
        <color rgb="FF674EA7"/>
      </right>
    </border>
    <border>
      <left style="thin">
        <color rgb="FF000000"/>
      </left>
      <right style="dotted">
        <color rgb="FFA64D79"/>
      </right>
    </border>
    <border>
      <left style="dotted">
        <color rgb="FF1155CC"/>
      </left>
      <right style="dotted">
        <color rgb="FF1155CC"/>
      </right>
    </border>
    <border>
      <left style="dotted">
        <color rgb="FF1155CC"/>
      </left>
      <right style="thin">
        <color rgb="FF000000"/>
      </right>
    </border>
    <border>
      <left style="dotted">
        <color rgb="FF674EA7"/>
      </left>
      <right style="dotted">
        <color rgb="FF674EA7"/>
      </right>
    </border>
    <border>
      <left style="dotted">
        <color rgb="FF674EA7"/>
      </left>
      <right style="thin">
        <color rgb="FF000000"/>
      </right>
    </border>
    <border>
      <left style="dotted">
        <color rgb="FFA64D79"/>
      </left>
      <right style="dotted">
        <color rgb="FFA64D79"/>
      </right>
    </border>
    <border>
      <left style="dotted">
        <color rgb="FFA64D79"/>
      </left>
      <right style="thin">
        <color rgb="FF000000"/>
      </right>
    </border>
    <border>
      <left style="thin">
        <color rgb="FF000000"/>
      </left>
      <right style="dotted">
        <color rgb="FF1155CC"/>
      </right>
      <bottom style="thin">
        <color rgb="FF000000"/>
      </bottom>
    </border>
    <border>
      <left style="dotted">
        <color rgb="FF1155CC"/>
      </left>
      <right style="dotted">
        <color rgb="FF1155CC"/>
      </right>
      <bottom style="thin">
        <color rgb="FF000000"/>
      </bottom>
    </border>
    <border>
      <left style="dotted">
        <color rgb="FF1155CC"/>
      </left>
      <right style="thin">
        <color rgb="FF000000"/>
      </right>
      <bottom style="thin">
        <color rgb="FF000000"/>
      </bottom>
    </border>
    <border>
      <left style="thin">
        <color rgb="FF000000"/>
      </left>
      <right style="dotted">
        <color rgb="FF674EA7"/>
      </right>
      <bottom style="thin">
        <color rgb="FF000000"/>
      </bottom>
    </border>
    <border>
      <left style="dotted">
        <color rgb="FF674EA7"/>
      </left>
      <right style="dotted">
        <color rgb="FF674EA7"/>
      </right>
      <bottom style="thin">
        <color rgb="FF000000"/>
      </bottom>
    </border>
    <border>
      <left style="dotted">
        <color rgb="FF674EA7"/>
      </left>
      <right style="thin">
        <color rgb="FF000000"/>
      </right>
      <bottom style="thin">
        <color rgb="FF000000"/>
      </bottom>
    </border>
    <border>
      <left style="thin">
        <color rgb="FF000000"/>
      </left>
      <right style="dotted">
        <color rgb="FFA64D79"/>
      </right>
      <bottom style="thin">
        <color rgb="FF000000"/>
      </bottom>
    </border>
    <border>
      <left style="dotted">
        <color rgb="FFA64D79"/>
      </left>
      <right style="dotted">
        <color rgb="FFA64D79"/>
      </right>
      <bottom style="thin">
        <color rgb="FF000000"/>
      </bottom>
    </border>
    <border>
      <left style="dotted">
        <color rgb="FFA64D79"/>
      </left>
      <right style="thin">
        <color rgb="FF000000"/>
      </right>
      <bottom style="thin">
        <color rgb="FF000000"/>
      </bottom>
    </border>
    <border>
      <left style="thin">
        <color rgb="FF000000"/>
      </left>
      <right style="dotted">
        <color rgb="FF434343"/>
      </right>
    </border>
    <border>
      <left style="dotted">
        <color rgb="FF434343"/>
      </left>
      <right style="dotted">
        <color rgb="FF434343"/>
      </right>
    </border>
    <border>
      <left style="dotted">
        <color rgb="FF434343"/>
      </left>
      <right style="thin">
        <color rgb="FF000000"/>
      </right>
    </border>
    <border>
      <left style="thin">
        <color rgb="FF000000"/>
      </left>
      <right style="dotted">
        <color rgb="FF434343"/>
      </right>
      <bottom style="thin">
        <color rgb="FF000000"/>
      </bottom>
    </border>
    <border>
      <left style="dotted">
        <color rgb="FF434343"/>
      </left>
      <right style="dotted">
        <color rgb="FF434343"/>
      </right>
      <bottom style="thin">
        <color rgb="FF000000"/>
      </bottom>
    </border>
    <border>
      <left style="dotted">
        <color rgb="FF434343"/>
      </left>
      <right style="thin">
        <color rgb="FF000000"/>
      </right>
      <bottom style="thin">
        <color rgb="FF000000"/>
      </bottom>
    </border>
    <border>
      <left style="dotted">
        <color rgb="FF434343"/>
      </left>
      <top style="thin">
        <color rgb="FF000000"/>
      </top>
    </border>
    <border>
      <right style="dotted">
        <color rgb="FF434343"/>
      </right>
      <top style="thin">
        <color rgb="FF000000"/>
      </top>
    </border>
    <border>
      <left style="dotted">
        <color rgb="FF434343"/>
      </left>
      <right style="dotted">
        <color rgb="FF434343"/>
      </right>
      <top style="thin">
        <color rgb="FF000000"/>
      </top>
    </border>
    <border>
      <left style="dotted">
        <color rgb="FF434343"/>
      </left>
      <right style="thin">
        <color rgb="FF000000"/>
      </right>
      <top style="thin">
        <color rgb="FF000000"/>
      </top>
    </border>
    <border>
      <left style="thin">
        <color rgb="FF000000"/>
      </left>
    </border>
    <border>
      <right style="dotted">
        <color rgb="FF434343"/>
      </right>
    </border>
    <border>
      <left style="thin">
        <color rgb="FF000000"/>
      </left>
      <bottom style="thin">
        <color rgb="FF000000"/>
      </bottom>
    </border>
    <border>
      <right style="dotted">
        <color rgb="FF434343"/>
      </right>
      <bottom style="thin">
        <color rgb="FF000000"/>
      </bottom>
    </border>
    <border>
      <right style="thin">
        <color rgb="FF000000"/>
      </right>
      <bottom style="thin">
        <color rgb="FF000000"/>
      </bottom>
    </border>
    <border>
      <right style="dotted">
        <color rgb="FF45818E"/>
      </right>
    </border>
    <border>
      <left style="thin">
        <color rgb="FF000000"/>
      </left>
      <right style="dotted">
        <color rgb="FF434343"/>
      </right>
      <top style="thin">
        <color rgb="FF000000"/>
      </top>
    </border>
    <border>
      <left style="dotted">
        <color rgb="FF434343"/>
      </left>
    </border>
    <border>
      <left style="thin">
        <color rgb="FF000000"/>
      </left>
      <right style="dotted">
        <color rgb="FF3D85C6"/>
      </right>
    </border>
    <border>
      <right style="dotted">
        <color rgb="FF3D85C6"/>
      </right>
    </border>
    <border>
      <left style="dotted">
        <color rgb="FF3D85C6"/>
      </left>
      <right style="dotted">
        <color rgb="FF3D85C6"/>
      </right>
    </border>
    <border>
      <left style="dotted">
        <color rgb="FF434343"/>
      </left>
      <bottom style="thin">
        <color rgb="FF000000"/>
      </bottom>
    </border>
    <border>
      <left style="thin">
        <color rgb="FF000000"/>
      </left>
      <right style="dotted">
        <color rgb="FF990000"/>
      </right>
      <top style="thin">
        <color rgb="FF000000"/>
      </top>
    </border>
    <border>
      <left style="dotted">
        <color rgb="FF990000"/>
      </left>
      <right style="thin">
        <color rgb="FF000000"/>
      </right>
      <top style="thin">
        <color rgb="FF000000"/>
      </top>
    </border>
    <border>
      <right style="dotted">
        <color rgb="FF990000"/>
      </right>
      <bottom style="thin">
        <color rgb="FF000000"/>
      </bottom>
    </border>
    <border>
      <left style="thin">
        <color rgb="FF000000"/>
      </left>
      <right style="thin">
        <color rgb="FF000000"/>
      </right>
      <top style="thin">
        <color rgb="FF000000"/>
      </top>
      <bottom style="thin">
        <color rgb="FF000000"/>
      </bottom>
    </border>
    <border>
      <right style="dotted">
        <color rgb="FF990000"/>
      </right>
      <top style="thin">
        <color rgb="FF000000"/>
      </top>
    </border>
    <border>
      <left style="dotted">
        <color rgb="FF990000"/>
      </left>
      <right style="dotted">
        <color rgb="FF990000"/>
      </right>
      <top style="thin">
        <color rgb="FF000000"/>
      </top>
    </border>
    <border>
      <left style="dotted">
        <color rgb="FF990000"/>
      </left>
      <top style="thin">
        <color rgb="FF000000"/>
      </top>
    </border>
    <border>
      <left style="dotted">
        <color rgb="FF990000"/>
      </left>
    </border>
    <border>
      <left style="dotted">
        <color rgb="FF990000"/>
      </left>
      <bottom style="thin">
        <color rgb="FF000000"/>
      </bottom>
    </border>
    <border>
      <right style="dotted">
        <color rgb="FF45818E"/>
      </right>
      <top style="thin">
        <color rgb="FF000000"/>
      </top>
    </border>
    <border>
      <left style="dotted">
        <color rgb="FF45818E"/>
      </left>
      <right style="thin">
        <color rgb="FF000000"/>
      </right>
      <top style="thin">
        <color rgb="FF000000"/>
      </top>
    </border>
    <border>
      <left style="thin">
        <color rgb="FF000000"/>
      </left>
      <right style="dotted">
        <color rgb="FF45818E"/>
      </right>
      <top style="thin">
        <color rgb="FF000000"/>
      </top>
    </border>
    <border>
      <left style="dotted">
        <color rgb="FF45818E"/>
      </left>
      <right style="thin">
        <color rgb="FF000000"/>
      </right>
    </border>
    <border>
      <left style="thin">
        <color rgb="FF000000"/>
      </left>
      <right style="dotted">
        <color rgb="FF45818E"/>
      </right>
    </border>
    <border>
      <left style="thin">
        <color rgb="FF000000"/>
      </left>
      <right style="dotted">
        <color rgb="FF45818E"/>
      </right>
      <bottom style="thin">
        <color rgb="FF000000"/>
      </bottom>
    </border>
    <border>
      <left style="dotted">
        <color rgb="FF45818E"/>
      </left>
      <right style="thin">
        <color rgb="FF000000"/>
      </right>
      <bottom style="thin">
        <color rgb="FF000000"/>
      </bottom>
    </border>
    <border>
      <right style="dotted">
        <color rgb="FF45818E"/>
      </right>
      <bottom style="thin">
        <color rgb="FF000000"/>
      </bottom>
    </border>
    <border>
      <left style="dotted">
        <color rgb="FF45818E"/>
      </left>
      <right style="dotted">
        <color rgb="FF45818E"/>
      </right>
      <top style="thin">
        <color rgb="FF000000"/>
      </top>
    </border>
    <border>
      <left style="thin">
        <color rgb="FF000000"/>
      </left>
      <right style="dotted">
        <color rgb="FF45818E"/>
      </right>
      <bottom style="dotted">
        <color rgb="FF45818E"/>
      </bottom>
    </border>
    <border>
      <left style="dotted">
        <color rgb="FF45818E"/>
      </left>
      <right style="dotted">
        <color rgb="FF45818E"/>
      </right>
      <bottom style="dotted">
        <color rgb="FF45818E"/>
      </bottom>
    </border>
    <border>
      <left style="dotted">
        <color rgb="FF45818E"/>
      </left>
      <right style="thin">
        <color rgb="FF000000"/>
      </right>
      <bottom style="dotted">
        <color rgb="FF45818E"/>
      </bottom>
    </border>
    <border>
      <left style="dotted">
        <color rgb="FF45818E"/>
      </left>
      <right style="dotted">
        <color rgb="FF45818E"/>
      </right>
    </border>
    <border>
      <left style="dotted">
        <color rgb="FF45818E"/>
      </left>
      <right style="dotted">
        <color rgb="FF45818E"/>
      </right>
      <bottom style="thin">
        <color rgb="FF000000"/>
      </bottom>
    </border>
    <border>
      <left style="dotted">
        <color rgb="FF45818E"/>
      </left>
      <top style="thin">
        <color rgb="FF000000"/>
      </top>
    </border>
    <border>
      <left style="dotted">
        <color rgb="FF45818E"/>
      </left>
    </border>
    <border>
      <left style="dotted">
        <color rgb="FF45818E"/>
      </left>
      <bottom style="thin">
        <color rgb="FF000000"/>
      </bottom>
    </border>
    <border>
      <right style="dotted">
        <color rgb="FFB45F06"/>
      </right>
      <top style="thin">
        <color rgb="FF000000"/>
      </top>
    </border>
    <border>
      <left style="dotted">
        <color rgb="FFB45F06"/>
      </left>
      <right style="thin">
        <color rgb="FF000000"/>
      </right>
      <top style="thin">
        <color rgb="FF000000"/>
      </top>
    </border>
    <border>
      <left style="thin">
        <color rgb="FF000000"/>
      </left>
      <right style="dotted">
        <color rgb="FFB45F06"/>
      </right>
      <top style="thin">
        <color rgb="FF000000"/>
      </top>
    </border>
    <border>
      <right style="dotted">
        <color rgb="FFB45F06"/>
      </right>
      <bottom style="thin">
        <color rgb="FF000000"/>
      </bottom>
    </border>
    <border>
      <left style="dotted">
        <color rgb="FFB45F06"/>
      </left>
      <right style="dotted">
        <color rgb="FFB45F06"/>
      </right>
      <top style="thin">
        <color rgb="FF000000"/>
      </top>
    </border>
    <border>
      <left style="dotted">
        <color rgb="FFB45F06"/>
      </left>
      <top style="thin">
        <color rgb="FF000000"/>
      </top>
    </border>
    <border>
      <left style="dotted">
        <color rgb="FFB45F06"/>
      </left>
    </border>
    <border>
      <left style="dotted">
        <color rgb="FFB45F06"/>
      </left>
      <bottom style="thin">
        <color rgb="FF000000"/>
      </bottom>
    </border>
    <border>
      <right style="dotted">
        <color rgb="FFBF9000"/>
      </right>
      <top style="thin">
        <color rgb="FF000000"/>
      </top>
    </border>
    <border>
      <left style="dotted">
        <color rgb="FFBF9000"/>
      </left>
      <right style="thin">
        <color rgb="FF000000"/>
      </right>
      <top style="thin">
        <color rgb="FF000000"/>
      </top>
    </border>
    <border>
      <left style="thin">
        <color rgb="FF000000"/>
      </left>
      <right style="dotted">
        <color rgb="FFBF9000"/>
      </right>
      <top style="thin">
        <color rgb="FF000000"/>
      </top>
    </border>
    <border>
      <right style="dotted">
        <color rgb="FFBF9000"/>
      </right>
      <bottom style="thin">
        <color rgb="FF000000"/>
      </bottom>
    </border>
    <border>
      <left style="dotted">
        <color rgb="FFBF9000"/>
      </left>
      <right style="dotted">
        <color rgb="FFBF9000"/>
      </right>
      <top style="thin">
        <color rgb="FF000000"/>
      </top>
    </border>
    <border>
      <left style="dotted">
        <color rgb="FFBF9000"/>
      </left>
      <top style="thin">
        <color rgb="FF000000"/>
      </top>
    </border>
    <border>
      <left style="dotted">
        <color rgb="FFBF9000"/>
      </left>
    </border>
    <border>
      <left style="dotted">
        <color rgb="FFBF9000"/>
      </left>
      <bottom style="thin">
        <color rgb="FF000000"/>
      </bottom>
    </border>
    <border>
      <right style="dotted">
        <color rgb="FF674EA7"/>
      </right>
      <top style="thin">
        <color rgb="FF000000"/>
      </top>
    </border>
    <border>
      <left style="dotted">
        <color rgb="FF674EA7"/>
      </left>
      <right style="thin">
        <color rgb="FF000000"/>
      </right>
      <top style="thin">
        <color rgb="FF000000"/>
      </top>
    </border>
    <border>
      <left style="thin">
        <color rgb="FF000000"/>
      </left>
      <right style="dotted">
        <color rgb="FF674EA7"/>
      </right>
      <top style="thin">
        <color rgb="FF000000"/>
      </top>
    </border>
    <border>
      <right style="dotted">
        <color rgb="FF674EA7"/>
      </right>
      <bottom style="thin">
        <color rgb="FF000000"/>
      </bottom>
    </border>
    <border>
      <left style="dotted">
        <color rgb="FF674EA7"/>
      </left>
      <right style="dotted">
        <color rgb="FF674EA7"/>
      </right>
      <top style="thin">
        <color rgb="FF000000"/>
      </top>
    </border>
    <border>
      <left style="dotted">
        <color rgb="FF674EA7"/>
      </left>
      <top style="thin">
        <color rgb="FF000000"/>
      </top>
    </border>
    <border>
      <left style="dotted">
        <color rgb="FF674EA7"/>
      </left>
    </border>
    <border>
      <left style="dotted">
        <color rgb="FF674EA7"/>
      </left>
      <bottom style="thin">
        <color rgb="FF000000"/>
      </bottom>
    </border>
    <border>
      <right style="dotted">
        <color rgb="FF38761D"/>
      </right>
      <top style="thin">
        <color rgb="FF000000"/>
      </top>
    </border>
    <border>
      <left style="dotted">
        <color rgb="FF38761D"/>
      </left>
      <right style="thin">
        <color rgb="FF000000"/>
      </right>
      <top style="thin">
        <color rgb="FF000000"/>
      </top>
    </border>
    <border>
      <left style="thin">
        <color rgb="FF000000"/>
      </left>
      <right style="dotted">
        <color rgb="FF38761D"/>
      </right>
      <top style="thin">
        <color rgb="FF000000"/>
      </top>
    </border>
    <border>
      <right style="dotted">
        <color rgb="FF38761D"/>
      </right>
      <bottom style="thin">
        <color rgb="FF000000"/>
      </bottom>
    </border>
    <border>
      <left style="dotted">
        <color rgb="FF38761D"/>
      </left>
      <right style="dotted">
        <color rgb="FF38761D"/>
      </right>
      <top style="thin">
        <color rgb="FF000000"/>
      </top>
    </border>
    <border>
      <left style="dotted">
        <color rgb="FF38761D"/>
      </left>
      <top style="thin">
        <color rgb="FF000000"/>
      </top>
    </border>
    <border>
      <left style="dotted">
        <color rgb="FF38761D"/>
      </left>
    </border>
    <border>
      <left style="dotted">
        <color rgb="FF38761D"/>
      </left>
      <bottom style="thin">
        <color rgb="FF000000"/>
      </bottom>
    </border>
    <border>
      <right style="dotted">
        <color rgb="FF3D85C6"/>
      </right>
      <top style="thin">
        <color rgb="FF000000"/>
      </top>
    </border>
    <border>
      <left style="dotted">
        <color rgb="FF3D85C6"/>
      </left>
      <right style="thin">
        <color rgb="FF000000"/>
      </right>
      <top style="thin">
        <color rgb="FF000000"/>
      </top>
    </border>
    <border>
      <left style="thin">
        <color rgb="FF000000"/>
      </left>
      <right style="dotted">
        <color rgb="FF3D85C6"/>
      </right>
      <top style="thin">
        <color rgb="FF000000"/>
      </top>
    </border>
    <border>
      <left style="dotted">
        <color rgb="FF3D85C6"/>
      </left>
      <right style="thin">
        <color rgb="FF000000"/>
      </right>
    </border>
    <border>
      <left style="thin">
        <color rgb="FF000000"/>
      </left>
      <right style="dotted">
        <color rgb="FF3D85C6"/>
      </right>
      <bottom style="thin">
        <color rgb="FF000000"/>
      </bottom>
    </border>
    <border>
      <left style="dotted">
        <color rgb="FF3D85C6"/>
      </left>
      <right style="thin">
        <color rgb="FF000000"/>
      </right>
      <bottom style="thin">
        <color rgb="FF000000"/>
      </bottom>
    </border>
    <border>
      <right style="dotted">
        <color rgb="FF3D85C6"/>
      </right>
      <bottom style="thin">
        <color rgb="FF000000"/>
      </bottom>
    </border>
    <border>
      <left style="dotted">
        <color rgb="FF3D85C6"/>
      </left>
      <right style="dotted">
        <color rgb="FF3D85C6"/>
      </right>
      <top style="thin">
        <color rgb="FF000000"/>
      </top>
    </border>
    <border>
      <left style="thin">
        <color rgb="FF000000"/>
      </left>
      <right style="dotted">
        <color rgb="FF3D85C6"/>
      </right>
      <bottom style="dotted">
        <color rgb="FF3D85C6"/>
      </bottom>
    </border>
    <border>
      <left style="dotted">
        <color rgb="FF3D85C6"/>
      </left>
      <right style="dotted">
        <color rgb="FF3D85C6"/>
      </right>
      <bottom style="dotted">
        <color rgb="FF3D85C6"/>
      </bottom>
    </border>
    <border>
      <left style="dotted">
        <color rgb="FF3D85C6"/>
      </left>
      <right style="thin">
        <color rgb="FF000000"/>
      </right>
      <bottom style="dotted">
        <color rgb="FF3D85C6"/>
      </bottom>
    </border>
    <border>
      <left style="dotted">
        <color rgb="FF3D85C6"/>
      </left>
      <right style="dotted">
        <color rgb="FF3D85C6"/>
      </right>
      <bottom style="thin">
        <color rgb="FF000000"/>
      </bottom>
    </border>
    <border>
      <left style="dotted">
        <color rgb="FF3D85C6"/>
      </left>
      <top style="thin">
        <color rgb="FF000000"/>
      </top>
    </border>
    <border>
      <left style="dotted">
        <color rgb="FF3D85C6"/>
      </left>
    </border>
    <border>
      <left style="dotted">
        <color rgb="FF3D85C6"/>
      </left>
      <bottom style="thin">
        <color rgb="FF000000"/>
      </bottom>
    </border>
    <border>
      <right style="dotted">
        <color rgb="FF1155CC"/>
      </right>
      <top style="thin">
        <color rgb="FF000000"/>
      </top>
    </border>
    <border>
      <left style="dotted">
        <color rgb="FF1155CC"/>
      </left>
      <right style="thin">
        <color rgb="FF000000"/>
      </right>
      <top style="thin">
        <color rgb="FF000000"/>
      </top>
    </border>
    <border>
      <left style="thin">
        <color rgb="FF000000"/>
      </left>
      <right style="dotted">
        <color rgb="FF1155CC"/>
      </right>
      <top style="thin">
        <color rgb="FF000000"/>
      </top>
    </border>
    <border>
      <right style="dotted">
        <color rgb="FF1155CC"/>
      </right>
      <bottom style="thin">
        <color rgb="FF000000"/>
      </bottom>
    </border>
    <border>
      <left style="dotted">
        <color rgb="FF1155CC"/>
      </left>
      <right style="dotted">
        <color rgb="FF1155CC"/>
      </right>
      <top style="thin">
        <color rgb="FF000000"/>
      </top>
    </border>
    <border>
      <left style="dotted">
        <color rgb="FF1155CC"/>
      </left>
      <top style="thin">
        <color rgb="FF000000"/>
      </top>
    </border>
    <border>
      <left style="dotted">
        <color rgb="FF1155CC"/>
      </left>
    </border>
    <border>
      <left style="dotted">
        <color rgb="FF1155CC"/>
      </left>
      <bottom style="thin">
        <color rgb="FF000000"/>
      </bottom>
    </border>
    <border>
      <right style="dotted">
        <color rgb="FFA64D79"/>
      </right>
      <top style="thin">
        <color rgb="FF000000"/>
      </top>
    </border>
    <border>
      <left style="dotted">
        <color rgb="FFA64D79"/>
      </left>
      <right style="thin">
        <color rgb="FF000000"/>
      </right>
      <top style="thin">
        <color rgb="FF000000"/>
      </top>
    </border>
    <border>
      <left style="thin">
        <color rgb="FF000000"/>
      </left>
      <right style="dotted">
        <color rgb="FFA64D79"/>
      </right>
      <top style="thin">
        <color rgb="FF000000"/>
      </top>
    </border>
    <border>
      <right style="dotted">
        <color rgb="FFA64D79"/>
      </right>
      <bottom style="thin">
        <color rgb="FF000000"/>
      </bottom>
    </border>
    <border>
      <left style="dotted">
        <color rgb="FFA64D79"/>
      </left>
      <right style="dotted">
        <color rgb="FFA64D79"/>
      </right>
      <top style="thin">
        <color rgb="FF000000"/>
      </top>
    </border>
    <border>
      <left style="dotted">
        <color rgb="FFA64D79"/>
      </left>
      <top style="thin">
        <color rgb="FF000000"/>
      </top>
    </border>
    <border>
      <left style="dotted">
        <color rgb="FFA64D79"/>
      </left>
    </border>
    <border>
      <left style="dotted">
        <color rgb="FFA64D79"/>
      </left>
      <bottom style="thin">
        <color rgb="FF000000"/>
      </bottom>
    </border>
    <border>
      <left style="thin">
        <color rgb="FF000000"/>
      </left>
      <right style="dotted">
        <color rgb="FFBDBDBD"/>
      </right>
      <top style="thin">
        <color rgb="FF000000"/>
      </top>
    </border>
    <border>
      <left style="dotted">
        <color rgb="FFBDBDBD"/>
      </left>
      <top style="thin">
        <color rgb="FF000000"/>
      </top>
    </border>
    <border>
      <left style="thin">
        <color rgb="FF000000"/>
      </left>
      <right style="dotted">
        <color rgb="FFBDBDBD"/>
      </right>
    </border>
    <border>
      <left style="dotted">
        <color rgb="FFBDBDBD"/>
      </left>
    </border>
    <border>
      <left style="thin">
        <color rgb="FF000000"/>
      </left>
      <right style="dotted">
        <color rgb="FFBDBDBD"/>
      </right>
      <bottom style="thin">
        <color rgb="FF000000"/>
      </bottom>
    </border>
    <border>
      <left style="dotted">
        <color rgb="FFBDBDBD"/>
      </left>
      <bottom style="thin">
        <color rgb="FF000000"/>
      </bottom>
    </border>
  </borders>
  <cellStyleXfs count="1">
    <xf borderId="0" fillId="0" fontId="0" numFmtId="0" applyAlignment="1" applyFont="1"/>
  </cellStyleXfs>
  <cellXfs count="128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1" fillId="2" fontId="3" numFmtId="0" xfId="0" applyAlignment="1" applyBorder="1" applyFill="1" applyFont="1">
      <alignment horizontal="left" readingOrder="0" vertical="center"/>
    </xf>
    <xf borderId="2" fillId="0" fontId="4" numFmtId="0" xfId="0" applyBorder="1" applyFont="1"/>
    <xf borderId="3" fillId="0" fontId="4" numFmtId="0" xfId="0" applyBorder="1" applyFont="1"/>
    <xf borderId="1" fillId="2" fontId="3" numFmtId="0" xfId="0" applyAlignment="1" applyBorder="1" applyFont="1">
      <alignment readingOrder="0"/>
    </xf>
    <xf borderId="2" fillId="2" fontId="5" numFmtId="0" xfId="0" applyBorder="1" applyFont="1"/>
    <xf borderId="3" fillId="2" fontId="5" numFmtId="0" xfId="0" applyBorder="1" applyFont="1"/>
    <xf borderId="4" fillId="3" fontId="3" numFmtId="0" xfId="0" applyAlignment="1" applyBorder="1" applyFill="1" applyFont="1">
      <alignment horizontal="left" readingOrder="0" vertical="center"/>
    </xf>
    <xf borderId="4" fillId="3" fontId="6" numFmtId="0" xfId="0" applyAlignment="1" applyBorder="1" applyFont="1">
      <alignment horizontal="left" readingOrder="0"/>
    </xf>
    <xf borderId="0" fillId="0" fontId="7" numFmtId="0" xfId="0" applyAlignment="1" applyFont="1">
      <alignment readingOrder="0"/>
    </xf>
    <xf borderId="0" fillId="0" fontId="2" numFmtId="0" xfId="0" applyAlignment="1" applyFont="1">
      <alignment readingOrder="0" shrinkToFit="0" wrapText="1"/>
    </xf>
    <xf borderId="5" fillId="3" fontId="8" numFmtId="0" xfId="0" applyAlignment="1" applyBorder="1" applyFont="1">
      <alignment horizontal="left" readingOrder="0" shrinkToFit="0" wrapText="1"/>
    </xf>
    <xf borderId="6" fillId="3" fontId="9" numFmtId="0" xfId="0" applyAlignment="1" applyBorder="1" applyFont="1">
      <alignment horizontal="left" readingOrder="0" shrinkToFit="0" wrapText="1"/>
    </xf>
    <xf borderId="7" fillId="3" fontId="9" numFmtId="0" xfId="0" applyAlignment="1" applyBorder="1" applyFont="1">
      <alignment horizontal="left" readingOrder="0" shrinkToFit="0" wrapText="1"/>
    </xf>
    <xf borderId="0" fillId="0" fontId="4" numFmtId="0" xfId="0" applyAlignment="1" applyFont="1">
      <alignment shrinkToFit="0" wrapText="1"/>
    </xf>
    <xf borderId="8" fillId="4" fontId="3" numFmtId="0" xfId="0" applyBorder="1" applyFill="1" applyFont="1"/>
    <xf borderId="9" fillId="4" fontId="4" numFmtId="0" xfId="0" applyBorder="1" applyFont="1"/>
    <xf borderId="10" fillId="4" fontId="4" numFmtId="0" xfId="0" applyBorder="1" applyFont="1"/>
    <xf borderId="8" fillId="5" fontId="3" numFmtId="0" xfId="0" applyBorder="1" applyFill="1" applyFont="1"/>
    <xf borderId="9" fillId="5" fontId="4" numFmtId="0" xfId="0" applyBorder="1" applyFont="1"/>
    <xf borderId="10" fillId="5" fontId="4" numFmtId="0" xfId="0" applyBorder="1" applyFont="1"/>
    <xf borderId="8" fillId="6" fontId="3" numFmtId="0" xfId="0" applyBorder="1" applyFill="1" applyFont="1"/>
    <xf borderId="9" fillId="6" fontId="4" numFmtId="0" xfId="0" applyBorder="1" applyFont="1"/>
    <xf borderId="10" fillId="6" fontId="4" numFmtId="0" xfId="0" applyBorder="1" applyFont="1"/>
    <xf borderId="5" fillId="7" fontId="10" numFmtId="0" xfId="0" applyAlignment="1" applyBorder="1" applyFill="1" applyFont="1">
      <alignment readingOrder="0"/>
    </xf>
    <xf borderId="6" fillId="7" fontId="11" numFmtId="0" xfId="0" applyAlignment="1" applyBorder="1" applyFont="1">
      <alignment readingOrder="0" shrinkToFit="0" wrapText="0"/>
    </xf>
    <xf borderId="6" fillId="7" fontId="10" numFmtId="0" xfId="0" applyAlignment="1" applyBorder="1" applyFont="1">
      <alignment readingOrder="0"/>
    </xf>
    <xf borderId="6" fillId="7" fontId="10" numFmtId="0" xfId="0" applyAlignment="1" applyBorder="1" applyFont="1">
      <alignment horizontal="center" readingOrder="0"/>
    </xf>
    <xf borderId="6" fillId="7" fontId="10" numFmtId="164" xfId="0" applyAlignment="1" applyBorder="1" applyFont="1" applyNumberFormat="1">
      <alignment horizontal="center" readingOrder="0"/>
    </xf>
    <xf borderId="7" fillId="7" fontId="10" numFmtId="0" xfId="0" applyAlignment="1" applyBorder="1" applyFont="1">
      <alignment horizontal="center" readingOrder="0"/>
    </xf>
    <xf borderId="11" fillId="3" fontId="12" numFmtId="0" xfId="0" applyAlignment="1" applyBorder="1" applyFont="1">
      <alignment horizontal="left" readingOrder="0"/>
    </xf>
    <xf borderId="12" fillId="3" fontId="13" numFmtId="0" xfId="0" applyAlignment="1" applyBorder="1" applyFont="1">
      <alignment horizontal="left" readingOrder="0"/>
    </xf>
    <xf borderId="13" fillId="3" fontId="13" numFmtId="0" xfId="0" applyAlignment="1" applyBorder="1" applyFont="1">
      <alignment horizontal="center" readingOrder="0"/>
    </xf>
    <xf borderId="14" fillId="3" fontId="12" numFmtId="0" xfId="0" applyAlignment="1" applyBorder="1" applyFont="1">
      <alignment horizontal="left" readingOrder="0"/>
    </xf>
    <xf borderId="15" fillId="3" fontId="13" numFmtId="0" xfId="0" applyAlignment="1" applyBorder="1" applyFont="1">
      <alignment horizontal="left" readingOrder="0"/>
    </xf>
    <xf borderId="16" fillId="3" fontId="13" numFmtId="0" xfId="0" applyAlignment="1" applyBorder="1" applyFont="1">
      <alignment horizontal="center" readingOrder="0"/>
    </xf>
    <xf borderId="17" fillId="3" fontId="12" numFmtId="0" xfId="0" applyAlignment="1" applyBorder="1" applyFont="1">
      <alignment horizontal="left" readingOrder="0"/>
    </xf>
    <xf borderId="18" fillId="3" fontId="13" numFmtId="0" xfId="0" applyAlignment="1" applyBorder="1" applyFont="1">
      <alignment horizontal="left" readingOrder="0"/>
    </xf>
    <xf borderId="19" fillId="3" fontId="13" numFmtId="0" xfId="0" applyAlignment="1" applyBorder="1" applyFont="1">
      <alignment horizontal="center" readingOrder="0"/>
    </xf>
    <xf borderId="20" fillId="8" fontId="10" numFmtId="0" xfId="0" applyAlignment="1" applyBorder="1" applyFill="1" applyFont="1">
      <alignment readingOrder="0"/>
    </xf>
    <xf borderId="21" fillId="8" fontId="11" numFmtId="0" xfId="0" applyAlignment="1" applyBorder="1" applyFont="1">
      <alignment readingOrder="0" shrinkToFit="0" wrapText="0"/>
    </xf>
    <xf borderId="21" fillId="8" fontId="10" numFmtId="0" xfId="0" applyAlignment="1" applyBorder="1" applyFont="1">
      <alignment readingOrder="0"/>
    </xf>
    <xf borderId="21" fillId="8" fontId="10" numFmtId="0" xfId="0" applyAlignment="1" applyBorder="1" applyFont="1">
      <alignment horizontal="center" readingOrder="0"/>
    </xf>
    <xf borderId="21" fillId="8" fontId="10" numFmtId="164" xfId="0" applyAlignment="1" applyBorder="1" applyFont="1" applyNumberFormat="1">
      <alignment horizontal="center" readingOrder="0"/>
    </xf>
    <xf borderId="22" fillId="8" fontId="10" numFmtId="0" xfId="0" applyAlignment="1" applyBorder="1" applyFont="1">
      <alignment horizontal="center" readingOrder="0"/>
    </xf>
    <xf borderId="23" fillId="7" fontId="10" numFmtId="0" xfId="0" applyAlignment="1" applyBorder="1" applyFont="1">
      <alignment readingOrder="0"/>
    </xf>
    <xf borderId="24" fillId="7" fontId="10" numFmtId="0" xfId="0" applyAlignment="1" applyBorder="1" applyFont="1">
      <alignment readingOrder="0"/>
    </xf>
    <xf borderId="25" fillId="7" fontId="10" numFmtId="0" xfId="0" applyAlignment="1" applyBorder="1" applyFont="1">
      <alignment readingOrder="0"/>
    </xf>
    <xf borderId="26" fillId="8" fontId="10" numFmtId="0" xfId="0" applyAlignment="1" applyBorder="1" applyFont="1">
      <alignment readingOrder="0"/>
    </xf>
    <xf borderId="24" fillId="8" fontId="10" numFmtId="0" xfId="0" applyAlignment="1" applyBorder="1" applyFont="1">
      <alignment readingOrder="0" vertical="bottom"/>
    </xf>
    <xf borderId="27" fillId="8" fontId="10" numFmtId="0" xfId="0" applyAlignment="1" applyBorder="1" applyFont="1">
      <alignment readingOrder="0" vertical="bottom"/>
    </xf>
    <xf borderId="28" fillId="9" fontId="10" numFmtId="0" xfId="0" applyAlignment="1" applyBorder="1" applyFill="1" applyFont="1">
      <alignment readingOrder="0"/>
    </xf>
    <xf borderId="24" fillId="9" fontId="10" numFmtId="0" xfId="0" applyAlignment="1" applyBorder="1" applyFont="1">
      <alignment vertical="bottom"/>
    </xf>
    <xf borderId="27" fillId="9" fontId="10" numFmtId="0" xfId="0" applyAlignment="1" applyBorder="1" applyFont="1">
      <alignment vertical="bottom"/>
    </xf>
    <xf borderId="20" fillId="9" fontId="10" numFmtId="0" xfId="0" applyAlignment="1" applyBorder="1" applyFont="1">
      <alignment readingOrder="0"/>
    </xf>
    <xf borderId="21" fillId="9" fontId="11" numFmtId="0" xfId="0" applyAlignment="1" applyBorder="1" applyFont="1">
      <alignment readingOrder="0" shrinkToFit="0" wrapText="0"/>
    </xf>
    <xf borderId="21" fillId="9" fontId="10" numFmtId="0" xfId="0" applyAlignment="1" applyBorder="1" applyFont="1">
      <alignment readingOrder="0"/>
    </xf>
    <xf borderId="21" fillId="9" fontId="10" numFmtId="0" xfId="0" applyAlignment="1" applyBorder="1" applyFont="1">
      <alignment horizontal="center" readingOrder="0"/>
    </xf>
    <xf borderId="21" fillId="9" fontId="10" numFmtId="164" xfId="0" applyAlignment="1" applyBorder="1" applyFont="1" applyNumberFormat="1">
      <alignment horizontal="center" readingOrder="0"/>
    </xf>
    <xf borderId="22" fillId="9" fontId="10" numFmtId="0" xfId="0" applyAlignment="1" applyBorder="1" applyFont="1">
      <alignment horizontal="center" readingOrder="0"/>
    </xf>
    <xf borderId="23" fillId="3" fontId="10" numFmtId="0" xfId="0" applyAlignment="1" applyBorder="1" applyFont="1">
      <alignment readingOrder="0"/>
    </xf>
    <xf borderId="24" fillId="3" fontId="10" numFmtId="0" xfId="0" applyAlignment="1" applyBorder="1" applyFont="1">
      <alignment readingOrder="0"/>
    </xf>
    <xf borderId="25" fillId="3" fontId="10" numFmtId="0" xfId="0" applyAlignment="1" applyBorder="1" applyFont="1">
      <alignment readingOrder="0"/>
    </xf>
    <xf borderId="26" fillId="3" fontId="10" numFmtId="0" xfId="0" applyAlignment="1" applyBorder="1" applyFont="1">
      <alignment readingOrder="0"/>
    </xf>
    <xf borderId="29" fillId="3" fontId="10" numFmtId="0" xfId="0" applyBorder="1" applyFont="1"/>
    <xf borderId="30" fillId="3" fontId="10" numFmtId="0" xfId="0" applyBorder="1" applyFont="1"/>
    <xf borderId="28" fillId="3" fontId="10" numFmtId="0" xfId="0" applyAlignment="1" applyBorder="1" applyFont="1">
      <alignment readingOrder="0"/>
    </xf>
    <xf borderId="31" fillId="3" fontId="10" numFmtId="0" xfId="0" applyBorder="1" applyFont="1"/>
    <xf borderId="32" fillId="3" fontId="10" numFmtId="0" xfId="0" applyBorder="1" applyFont="1"/>
    <xf borderId="20" fillId="10" fontId="10" numFmtId="0" xfId="0" applyAlignment="1" applyBorder="1" applyFill="1" applyFont="1">
      <alignment readingOrder="0"/>
    </xf>
    <xf borderId="21" fillId="10" fontId="11" numFmtId="0" xfId="0" applyAlignment="1" applyBorder="1" applyFont="1">
      <alignment readingOrder="0" shrinkToFit="0" wrapText="0"/>
    </xf>
    <xf borderId="21" fillId="10" fontId="10" numFmtId="0" xfId="0" applyAlignment="1" applyBorder="1" applyFont="1">
      <alignment readingOrder="0"/>
    </xf>
    <xf borderId="21" fillId="10" fontId="10" numFmtId="0" xfId="0" applyAlignment="1" applyBorder="1" applyFont="1">
      <alignment horizontal="center" readingOrder="0"/>
    </xf>
    <xf borderId="21" fillId="10" fontId="10" numFmtId="164" xfId="0" applyAlignment="1" applyBorder="1" applyFont="1" applyNumberFormat="1">
      <alignment horizontal="center" readingOrder="0"/>
    </xf>
    <xf borderId="22" fillId="10" fontId="10" numFmtId="0" xfId="0" applyAlignment="1" applyBorder="1" applyFont="1">
      <alignment horizontal="center" readingOrder="0"/>
    </xf>
    <xf borderId="29" fillId="8" fontId="10" numFmtId="0" xfId="0" applyBorder="1" applyFont="1"/>
    <xf borderId="30" fillId="8" fontId="10" numFmtId="0" xfId="0" applyBorder="1" applyFont="1"/>
    <xf borderId="31" fillId="9" fontId="10" numFmtId="0" xfId="0" applyBorder="1" applyFont="1"/>
    <xf borderId="32" fillId="9" fontId="10" numFmtId="0" xfId="0" applyBorder="1" applyFont="1"/>
    <xf borderId="20" fillId="11" fontId="10" numFmtId="0" xfId="0" applyAlignment="1" applyBorder="1" applyFill="1" applyFont="1">
      <alignment readingOrder="0"/>
    </xf>
    <xf borderId="21" fillId="11" fontId="11" numFmtId="0" xfId="0" applyAlignment="1" applyBorder="1" applyFont="1">
      <alignment readingOrder="0" shrinkToFit="0" wrapText="0"/>
    </xf>
    <xf borderId="21" fillId="11" fontId="10" numFmtId="0" xfId="0" applyAlignment="1" applyBorder="1" applyFont="1">
      <alignment readingOrder="0"/>
    </xf>
    <xf borderId="21" fillId="11" fontId="10" numFmtId="0" xfId="0" applyAlignment="1" applyBorder="1" applyFont="1">
      <alignment horizontal="center" readingOrder="0"/>
    </xf>
    <xf borderId="21" fillId="11" fontId="10" numFmtId="164" xfId="0" applyAlignment="1" applyBorder="1" applyFont="1" applyNumberFormat="1">
      <alignment horizontal="center" readingOrder="0"/>
    </xf>
    <xf borderId="22" fillId="11" fontId="10" numFmtId="0" xfId="0" applyAlignment="1" applyBorder="1" applyFont="1">
      <alignment horizontal="center" readingOrder="0"/>
    </xf>
    <xf borderId="20" fillId="12" fontId="10" numFmtId="0" xfId="0" applyAlignment="1" applyBorder="1" applyFill="1" applyFont="1">
      <alignment readingOrder="0"/>
    </xf>
    <xf borderId="21" fillId="12" fontId="11" numFmtId="0" xfId="0" applyAlignment="1" applyBorder="1" applyFont="1">
      <alignment readingOrder="0" shrinkToFit="0" wrapText="0"/>
    </xf>
    <xf borderId="21" fillId="12" fontId="10" numFmtId="0" xfId="0" applyAlignment="1" applyBorder="1" applyFont="1">
      <alignment readingOrder="0"/>
    </xf>
    <xf borderId="21" fillId="12" fontId="10" numFmtId="0" xfId="0" applyAlignment="1" applyBorder="1" applyFont="1">
      <alignment horizontal="center" readingOrder="0"/>
    </xf>
    <xf borderId="21" fillId="12" fontId="10" numFmtId="164" xfId="0" applyAlignment="1" applyBorder="1" applyFont="1" applyNumberFormat="1">
      <alignment horizontal="center" readingOrder="0"/>
    </xf>
    <xf borderId="22" fillId="12" fontId="10" numFmtId="0" xfId="0" applyAlignment="1" applyBorder="1" applyFont="1">
      <alignment horizontal="center" readingOrder="0"/>
    </xf>
    <xf borderId="20" fillId="13" fontId="10" numFmtId="0" xfId="0" applyAlignment="1" applyBorder="1" applyFill="1" applyFont="1">
      <alignment readingOrder="0"/>
    </xf>
    <xf borderId="21" fillId="13" fontId="11" numFmtId="0" xfId="0" applyAlignment="1" applyBorder="1" applyFont="1">
      <alignment readingOrder="0" shrinkToFit="0" wrapText="0"/>
    </xf>
    <xf borderId="21" fillId="13" fontId="10" numFmtId="0" xfId="0" applyAlignment="1" applyBorder="1" applyFont="1">
      <alignment readingOrder="0"/>
    </xf>
    <xf borderId="21" fillId="13" fontId="10" numFmtId="0" xfId="0" applyAlignment="1" applyBorder="1" applyFont="1">
      <alignment horizontal="center" readingOrder="0"/>
    </xf>
    <xf borderId="21" fillId="13" fontId="10" numFmtId="164" xfId="0" applyAlignment="1" applyBorder="1" applyFont="1" applyNumberFormat="1">
      <alignment horizontal="center"/>
    </xf>
    <xf borderId="22" fillId="13" fontId="10" numFmtId="0" xfId="0" applyAlignment="1" applyBorder="1" applyFont="1">
      <alignment horizontal="center"/>
    </xf>
    <xf borderId="20" fillId="14" fontId="10" numFmtId="0" xfId="0" applyAlignment="1" applyBorder="1" applyFill="1" applyFont="1">
      <alignment readingOrder="0"/>
    </xf>
    <xf borderId="21" fillId="14" fontId="11" numFmtId="0" xfId="0" applyAlignment="1" applyBorder="1" applyFont="1">
      <alignment readingOrder="0" shrinkToFit="0" wrapText="0"/>
    </xf>
    <xf borderId="21" fillId="14" fontId="10" numFmtId="0" xfId="0" applyAlignment="1" applyBorder="1" applyFont="1">
      <alignment readingOrder="0"/>
    </xf>
    <xf borderId="21" fillId="14" fontId="10" numFmtId="0" xfId="0" applyAlignment="1" applyBorder="1" applyFont="1">
      <alignment horizontal="center" readingOrder="0"/>
    </xf>
    <xf borderId="21" fillId="14" fontId="10" numFmtId="164" xfId="0" applyAlignment="1" applyBorder="1" applyFont="1" applyNumberFormat="1">
      <alignment horizontal="center" readingOrder="0"/>
    </xf>
    <xf borderId="22" fillId="14" fontId="10" numFmtId="0" xfId="0" applyAlignment="1" applyBorder="1" applyFont="1">
      <alignment horizontal="center" readingOrder="0"/>
    </xf>
    <xf borderId="33" fillId="15" fontId="10" numFmtId="0" xfId="0" applyAlignment="1" applyBorder="1" applyFill="1" applyFont="1">
      <alignment readingOrder="0"/>
    </xf>
    <xf borderId="34" fillId="15" fontId="11" numFmtId="0" xfId="0" applyAlignment="1" applyBorder="1" applyFont="1">
      <alignment readingOrder="0" shrinkToFit="0" wrapText="0"/>
    </xf>
    <xf borderId="34" fillId="15" fontId="10" numFmtId="0" xfId="0" applyAlignment="1" applyBorder="1" applyFont="1">
      <alignment readingOrder="0"/>
    </xf>
    <xf borderId="34" fillId="15" fontId="10" numFmtId="0" xfId="0" applyAlignment="1" applyBorder="1" applyFont="1">
      <alignment horizontal="center" readingOrder="0"/>
    </xf>
    <xf borderId="34" fillId="15" fontId="10" numFmtId="164" xfId="0" applyAlignment="1" applyBorder="1" applyFont="1" applyNumberFormat="1">
      <alignment horizontal="center"/>
    </xf>
    <xf borderId="35" fillId="15" fontId="10" numFmtId="0" xfId="0" applyAlignment="1" applyBorder="1" applyFont="1">
      <alignment horizontal="center"/>
    </xf>
    <xf borderId="0" fillId="3" fontId="2" numFmtId="0" xfId="0" applyAlignment="1" applyFont="1">
      <alignment readingOrder="0"/>
    </xf>
    <xf borderId="0" fillId="3" fontId="14" numFmtId="0" xfId="0" applyAlignment="1" applyFont="1">
      <alignment readingOrder="0"/>
    </xf>
    <xf borderId="0" fillId="3" fontId="4" numFmtId="0" xfId="0" applyFont="1"/>
    <xf borderId="0" fillId="3" fontId="14" numFmtId="0" xfId="0" applyAlignment="1" applyFont="1">
      <alignment readingOrder="0" vertical="center"/>
    </xf>
    <xf borderId="36" fillId="3" fontId="10" numFmtId="0" xfId="0" applyAlignment="1" applyBorder="1" applyFont="1">
      <alignment readingOrder="0"/>
    </xf>
    <xf borderId="37" fillId="3" fontId="10" numFmtId="0" xfId="0" applyAlignment="1" applyBorder="1" applyFont="1">
      <alignment readingOrder="0"/>
    </xf>
    <xf borderId="38" fillId="3" fontId="10" numFmtId="0" xfId="0" applyAlignment="1" applyBorder="1" applyFont="1">
      <alignment readingOrder="0"/>
    </xf>
    <xf borderId="39" fillId="3" fontId="10" numFmtId="0" xfId="0" applyAlignment="1" applyBorder="1" applyFont="1">
      <alignment readingOrder="0"/>
    </xf>
    <xf borderId="40" fillId="3" fontId="10" numFmtId="0" xfId="0" applyBorder="1" applyFont="1"/>
    <xf borderId="41" fillId="3" fontId="10" numFmtId="0" xfId="0" applyBorder="1" applyFont="1"/>
    <xf borderId="42" fillId="3" fontId="10" numFmtId="0" xfId="0" applyAlignment="1" applyBorder="1" applyFont="1">
      <alignment readingOrder="0"/>
    </xf>
    <xf borderId="43" fillId="3" fontId="10" numFmtId="0" xfId="0" applyBorder="1" applyFont="1"/>
    <xf borderId="44" fillId="3" fontId="10" numFmtId="0" xfId="0" applyBorder="1" applyFont="1"/>
    <xf borderId="0" fillId="3" fontId="15" numFmtId="0" xfId="0" applyAlignment="1" applyFont="1">
      <alignment readingOrder="0"/>
    </xf>
    <xf borderId="0" fillId="3" fontId="15" numFmtId="0" xfId="0" applyFont="1"/>
    <xf borderId="0" fillId="3" fontId="1" numFmtId="0" xfId="0" applyAlignment="1" applyFont="1">
      <alignment readingOrder="0"/>
    </xf>
    <xf borderId="0" fillId="3" fontId="1" numFmtId="0" xfId="0" applyFont="1"/>
    <xf borderId="0" fillId="3" fontId="16" numFmtId="0" xfId="0" applyAlignment="1" applyFont="1">
      <alignment readingOrder="0"/>
    </xf>
    <xf borderId="0" fillId="0" fontId="4" numFmtId="0" xfId="0" applyAlignment="1" applyFont="1">
      <alignment readingOrder="0"/>
    </xf>
    <xf borderId="8" fillId="16" fontId="3" numFmtId="0" xfId="0" applyBorder="1" applyFill="1" applyFont="1"/>
    <xf borderId="9" fillId="16" fontId="4" numFmtId="0" xfId="0" applyBorder="1" applyFont="1"/>
    <xf borderId="10" fillId="16" fontId="4" numFmtId="0" xfId="0" applyBorder="1" applyFont="1"/>
    <xf borderId="8" fillId="17" fontId="3" numFmtId="0" xfId="0" applyBorder="1" applyFill="1" applyFont="1"/>
    <xf borderId="9" fillId="17" fontId="4" numFmtId="0" xfId="0" applyBorder="1" applyFont="1"/>
    <xf borderId="10" fillId="17" fontId="4" numFmtId="0" xfId="0" applyBorder="1" applyFont="1"/>
    <xf borderId="8" fillId="18" fontId="3" numFmtId="0" xfId="0" applyBorder="1" applyFill="1" applyFont="1"/>
    <xf borderId="9" fillId="19" fontId="4" numFmtId="0" xfId="0" applyBorder="1" applyFill="1" applyFont="1"/>
    <xf borderId="10" fillId="19" fontId="4" numFmtId="0" xfId="0" applyBorder="1" applyFont="1"/>
    <xf borderId="45" fillId="3" fontId="12" numFmtId="0" xfId="0" applyAlignment="1" applyBorder="1" applyFont="1">
      <alignment horizontal="left" readingOrder="0"/>
    </xf>
    <xf borderId="46" fillId="3" fontId="13" numFmtId="0" xfId="0" applyAlignment="1" applyBorder="1" applyFont="1">
      <alignment horizontal="left" readingOrder="0"/>
    </xf>
    <xf borderId="47" fillId="3" fontId="13" numFmtId="0" xfId="0" applyAlignment="1" applyBorder="1" applyFont="1">
      <alignment horizontal="center" readingOrder="0"/>
    </xf>
    <xf borderId="48" fillId="3" fontId="12" numFmtId="0" xfId="0" applyAlignment="1" applyBorder="1" applyFont="1">
      <alignment horizontal="left" readingOrder="0"/>
    </xf>
    <xf borderId="49" fillId="3" fontId="13" numFmtId="0" xfId="0" applyAlignment="1" applyBorder="1" applyFont="1">
      <alignment horizontal="left" readingOrder="0"/>
    </xf>
    <xf borderId="50" fillId="3" fontId="13" numFmtId="0" xfId="0" applyAlignment="1" applyBorder="1" applyFont="1">
      <alignment horizontal="center" readingOrder="0"/>
    </xf>
    <xf borderId="51" fillId="3" fontId="12" numFmtId="0" xfId="0" applyAlignment="1" applyBorder="1" applyFont="1">
      <alignment horizontal="left" readingOrder="0"/>
    </xf>
    <xf borderId="52" fillId="3" fontId="13" numFmtId="0" xfId="0" applyAlignment="1" applyBorder="1" applyFont="1">
      <alignment horizontal="left" readingOrder="0"/>
    </xf>
    <xf borderId="53" fillId="3" fontId="13" numFmtId="0" xfId="0" applyAlignment="1" applyBorder="1" applyFont="1">
      <alignment horizontal="center" readingOrder="0"/>
    </xf>
    <xf borderId="54" fillId="10" fontId="10" numFmtId="0" xfId="0" applyAlignment="1" applyBorder="1" applyFont="1">
      <alignment readingOrder="0"/>
    </xf>
    <xf borderId="24" fillId="10" fontId="10" numFmtId="0" xfId="0" applyAlignment="1" applyBorder="1" applyFont="1">
      <alignment readingOrder="0" vertical="bottom"/>
    </xf>
    <xf borderId="27" fillId="10" fontId="10" numFmtId="0" xfId="0" applyAlignment="1" applyBorder="1" applyFont="1">
      <alignment readingOrder="0" vertical="bottom"/>
    </xf>
    <xf borderId="55" fillId="11" fontId="10" numFmtId="0" xfId="0" applyAlignment="1" applyBorder="1" applyFont="1">
      <alignment readingOrder="0"/>
    </xf>
    <xf borderId="24" fillId="11" fontId="10" numFmtId="0" xfId="0" applyAlignment="1" applyBorder="1" applyFont="1">
      <alignment readingOrder="0" vertical="bottom"/>
    </xf>
    <xf borderId="27" fillId="11" fontId="10" numFmtId="0" xfId="0" applyAlignment="1" applyBorder="1" applyFont="1">
      <alignment readingOrder="0" vertical="bottom"/>
    </xf>
    <xf borderId="56" fillId="12" fontId="10" numFmtId="0" xfId="0" applyAlignment="1" applyBorder="1" applyFont="1">
      <alignment readingOrder="0"/>
    </xf>
    <xf borderId="24" fillId="12" fontId="10" numFmtId="0" xfId="0" applyAlignment="1" applyBorder="1" applyFont="1">
      <alignment readingOrder="0" vertical="bottom"/>
    </xf>
    <xf borderId="27" fillId="12" fontId="10" numFmtId="0" xfId="0" applyAlignment="1" applyBorder="1" applyFont="1">
      <alignment readingOrder="0" vertical="bottom"/>
    </xf>
    <xf borderId="54" fillId="3" fontId="10" numFmtId="0" xfId="0" applyAlignment="1" applyBorder="1" applyFont="1">
      <alignment readingOrder="0"/>
    </xf>
    <xf borderId="57" fillId="3" fontId="10" numFmtId="0" xfId="0" applyAlignment="1" applyBorder="1" applyFont="1">
      <alignment readingOrder="0"/>
    </xf>
    <xf borderId="58" fillId="3" fontId="10" numFmtId="0" xfId="0" applyAlignment="1" applyBorder="1" applyFont="1">
      <alignment readingOrder="0"/>
    </xf>
    <xf borderId="55" fillId="3" fontId="10" numFmtId="0" xfId="0" applyAlignment="1" applyBorder="1" applyFont="1">
      <alignment readingOrder="0"/>
    </xf>
    <xf borderId="59" fillId="3" fontId="10" numFmtId="0" xfId="0" applyAlignment="1" applyBorder="1" applyFont="1">
      <alignment vertical="bottom"/>
    </xf>
    <xf borderId="27" fillId="3" fontId="10" numFmtId="0" xfId="0" applyAlignment="1" applyBorder="1" applyFont="1">
      <alignment readingOrder="0" vertical="bottom"/>
    </xf>
    <xf borderId="56" fillId="3" fontId="10" numFmtId="0" xfId="0" applyAlignment="1" applyBorder="1" applyFont="1">
      <alignment readingOrder="0"/>
    </xf>
    <xf borderId="0" fillId="3" fontId="10" numFmtId="0" xfId="0" applyAlignment="1" applyFont="1">
      <alignment readingOrder="0"/>
    </xf>
    <xf borderId="60" fillId="3" fontId="10" numFmtId="0" xfId="0" applyAlignment="1" applyBorder="1" applyFont="1">
      <alignment readingOrder="0"/>
    </xf>
    <xf borderId="57" fillId="10" fontId="10" numFmtId="0" xfId="0" applyAlignment="1" applyBorder="1" applyFont="1">
      <alignment readingOrder="0"/>
    </xf>
    <xf borderId="58" fillId="10" fontId="10" numFmtId="0" xfId="0" applyAlignment="1" applyBorder="1" applyFont="1">
      <alignment readingOrder="0"/>
    </xf>
    <xf borderId="59" fillId="11" fontId="10" numFmtId="0" xfId="0" applyAlignment="1" applyBorder="1" applyFont="1">
      <alignment vertical="bottom"/>
    </xf>
    <xf borderId="0" fillId="12" fontId="10" numFmtId="0" xfId="0" applyAlignment="1" applyFont="1">
      <alignment readingOrder="0"/>
    </xf>
    <xf borderId="60" fillId="12" fontId="10" numFmtId="0" xfId="0" applyAlignment="1" applyBorder="1" applyFont="1">
      <alignment readingOrder="0"/>
    </xf>
    <xf borderId="57" fillId="3" fontId="10" numFmtId="0" xfId="0" applyBorder="1" applyFont="1"/>
    <xf borderId="58" fillId="3" fontId="10" numFmtId="0" xfId="0" applyBorder="1" applyFont="1"/>
    <xf borderId="59" fillId="3" fontId="10" numFmtId="0" xfId="0" applyAlignment="1" applyBorder="1" applyFont="1">
      <alignment vertical="bottom"/>
    </xf>
    <xf borderId="57" fillId="10" fontId="10" numFmtId="0" xfId="0" applyBorder="1" applyFont="1"/>
    <xf borderId="58" fillId="10" fontId="10" numFmtId="0" xfId="0" applyBorder="1" applyFont="1"/>
    <xf borderId="59" fillId="11" fontId="10" numFmtId="0" xfId="0" applyAlignment="1" applyBorder="1" applyFont="1">
      <alignment vertical="bottom"/>
    </xf>
    <xf borderId="59" fillId="11" fontId="10" numFmtId="0" xfId="0" applyAlignment="1" applyBorder="1" applyFont="1">
      <alignment readingOrder="0"/>
    </xf>
    <xf borderId="61" fillId="11" fontId="10" numFmtId="0" xfId="0" applyAlignment="1" applyBorder="1" applyFont="1">
      <alignment readingOrder="0"/>
    </xf>
    <xf borderId="0" fillId="12" fontId="10" numFmtId="0" xfId="0" applyFont="1"/>
    <xf borderId="60" fillId="12" fontId="10" numFmtId="0" xfId="0" applyBorder="1" applyFont="1"/>
    <xf borderId="62" fillId="3" fontId="10" numFmtId="0" xfId="0" applyAlignment="1" applyBorder="1" applyFont="1">
      <alignment readingOrder="0"/>
    </xf>
    <xf borderId="63" fillId="3" fontId="10" numFmtId="0" xfId="0" applyBorder="1" applyFont="1"/>
    <xf borderId="64" fillId="3" fontId="10" numFmtId="0" xfId="0" applyBorder="1" applyFont="1"/>
    <xf borderId="65" fillId="3" fontId="10" numFmtId="0" xfId="0" applyAlignment="1" applyBorder="1" applyFont="1">
      <alignment readingOrder="0"/>
    </xf>
    <xf borderId="66" fillId="3" fontId="10" numFmtId="0" xfId="0" applyBorder="1" applyFont="1"/>
    <xf borderId="67" fillId="3" fontId="10" numFmtId="0" xfId="0" applyBorder="1" applyFont="1"/>
    <xf borderId="68" fillId="3" fontId="10" numFmtId="0" xfId="0" applyAlignment="1" applyBorder="1" applyFont="1">
      <alignment readingOrder="0"/>
    </xf>
    <xf borderId="4" fillId="3" fontId="10" numFmtId="0" xfId="0" applyBorder="1" applyFont="1"/>
    <xf borderId="69" fillId="3" fontId="10" numFmtId="0" xfId="0" applyBorder="1" applyFont="1"/>
    <xf borderId="8" fillId="20" fontId="3" numFmtId="0" xfId="0" applyBorder="1" applyFill="1" applyFont="1"/>
    <xf borderId="9" fillId="20" fontId="4" numFmtId="0" xfId="0" applyBorder="1" applyFont="1"/>
    <xf borderId="10" fillId="20" fontId="4" numFmtId="0" xfId="0" applyBorder="1" applyFont="1"/>
    <xf borderId="8" fillId="21" fontId="3" numFmtId="0" xfId="0" applyBorder="1" applyFill="1" applyFont="1"/>
    <xf borderId="9" fillId="21" fontId="4" numFmtId="0" xfId="0" applyBorder="1" applyFont="1"/>
    <xf borderId="10" fillId="21" fontId="4" numFmtId="0" xfId="0" applyBorder="1" applyFont="1"/>
    <xf borderId="8" fillId="22" fontId="3" numFmtId="0" xfId="0" applyBorder="1" applyFill="1" applyFont="1"/>
    <xf borderId="9" fillId="22" fontId="4" numFmtId="0" xfId="0" applyBorder="1" applyFont="1"/>
    <xf borderId="10" fillId="22" fontId="4" numFmtId="0" xfId="0" applyBorder="1" applyFont="1"/>
    <xf borderId="70" fillId="3" fontId="12" numFmtId="0" xfId="0" applyAlignment="1" applyBorder="1" applyFont="1">
      <alignment horizontal="left" readingOrder="0"/>
    </xf>
    <xf borderId="71" fillId="3" fontId="13" numFmtId="0" xfId="0" applyAlignment="1" applyBorder="1" applyFont="1">
      <alignment horizontal="left" readingOrder="0"/>
    </xf>
    <xf borderId="72" fillId="3" fontId="13" numFmtId="0" xfId="0" applyAlignment="1" applyBorder="1" applyFont="1">
      <alignment horizontal="center" readingOrder="0"/>
    </xf>
    <xf borderId="73" fillId="3" fontId="12" numFmtId="0" xfId="0" applyAlignment="1" applyBorder="1" applyFont="1">
      <alignment horizontal="left" readingOrder="0"/>
    </xf>
    <xf borderId="74" fillId="3" fontId="13" numFmtId="0" xfId="0" applyAlignment="1" applyBorder="1" applyFont="1">
      <alignment horizontal="left" readingOrder="0"/>
    </xf>
    <xf borderId="75" fillId="3" fontId="13" numFmtId="0" xfId="0" applyAlignment="1" applyBorder="1" applyFont="1">
      <alignment horizontal="center" readingOrder="0"/>
    </xf>
    <xf borderId="76" fillId="3" fontId="12" numFmtId="0" xfId="0" applyAlignment="1" applyBorder="1" applyFont="1">
      <alignment horizontal="left" readingOrder="0"/>
    </xf>
    <xf borderId="77" fillId="3" fontId="13" numFmtId="0" xfId="0" applyAlignment="1" applyBorder="1" applyFont="1">
      <alignment horizontal="left" readingOrder="0"/>
    </xf>
    <xf borderId="78" fillId="3" fontId="13" numFmtId="0" xfId="0" applyAlignment="1" applyBorder="1" applyFont="1">
      <alignment horizontal="center" readingOrder="0"/>
    </xf>
    <xf borderId="79" fillId="13" fontId="10" numFmtId="0" xfId="0" applyAlignment="1" applyBorder="1" applyFont="1">
      <alignment readingOrder="0"/>
    </xf>
    <xf borderId="24" fillId="13" fontId="10" numFmtId="0" xfId="0" applyAlignment="1" applyBorder="1" applyFont="1">
      <alignment vertical="bottom"/>
    </xf>
    <xf borderId="27" fillId="13" fontId="10" numFmtId="0" xfId="0" applyAlignment="1" applyBorder="1" applyFont="1">
      <alignment vertical="bottom"/>
    </xf>
    <xf borderId="80" fillId="14" fontId="10" numFmtId="0" xfId="0" applyAlignment="1" applyBorder="1" applyFont="1">
      <alignment readingOrder="0"/>
    </xf>
    <xf borderId="24" fillId="14" fontId="10" numFmtId="0" xfId="0" applyAlignment="1" applyBorder="1" applyFont="1">
      <alignment readingOrder="0" vertical="bottom"/>
    </xf>
    <xf borderId="27" fillId="14" fontId="10" numFmtId="0" xfId="0" applyAlignment="1" applyBorder="1" applyFont="1">
      <alignment readingOrder="0" vertical="bottom"/>
    </xf>
    <xf borderId="81" fillId="15" fontId="10" numFmtId="0" xfId="0" applyAlignment="1" applyBorder="1" applyFont="1">
      <alignment readingOrder="0"/>
    </xf>
    <xf borderId="24" fillId="15" fontId="10" numFmtId="0" xfId="0" applyAlignment="1" applyBorder="1" applyFont="1">
      <alignment vertical="bottom"/>
    </xf>
    <xf borderId="27" fillId="15" fontId="10" numFmtId="0" xfId="0" applyAlignment="1" applyBorder="1" applyFont="1">
      <alignment vertical="bottom"/>
    </xf>
    <xf borderId="79" fillId="3" fontId="10" numFmtId="0" xfId="0" applyAlignment="1" applyBorder="1" applyFont="1">
      <alignment readingOrder="0"/>
    </xf>
    <xf borderId="82" fillId="3" fontId="10" numFmtId="0" xfId="0" applyBorder="1" applyFont="1"/>
    <xf borderId="83" fillId="3" fontId="10" numFmtId="0" xfId="0" applyBorder="1" applyFont="1"/>
    <xf borderId="80" fillId="3" fontId="10" numFmtId="0" xfId="0" applyAlignment="1" applyBorder="1" applyFont="1">
      <alignment readingOrder="0"/>
    </xf>
    <xf borderId="84" fillId="3" fontId="10" numFmtId="0" xfId="0" applyAlignment="1" applyBorder="1" applyFont="1">
      <alignment readingOrder="0"/>
    </xf>
    <xf borderId="85" fillId="3" fontId="10" numFmtId="0" xfId="0" applyAlignment="1" applyBorder="1" applyFont="1">
      <alignment readingOrder="0"/>
    </xf>
    <xf borderId="81" fillId="3" fontId="10" numFmtId="0" xfId="0" applyAlignment="1" applyBorder="1" applyFont="1">
      <alignment readingOrder="0"/>
    </xf>
    <xf borderId="86" fillId="3" fontId="10" numFmtId="0" xfId="0" applyBorder="1" applyFont="1"/>
    <xf borderId="87" fillId="3" fontId="10" numFmtId="0" xfId="0" applyBorder="1" applyFont="1"/>
    <xf borderId="82" fillId="13" fontId="10" numFmtId="0" xfId="0" applyBorder="1" applyFont="1"/>
    <xf borderId="83" fillId="13" fontId="10" numFmtId="0" xfId="0" applyBorder="1" applyFont="1"/>
    <xf borderId="84" fillId="14" fontId="10" numFmtId="0" xfId="0" applyAlignment="1" applyBorder="1" applyFont="1">
      <alignment readingOrder="0"/>
    </xf>
    <xf borderId="85" fillId="14" fontId="10" numFmtId="0" xfId="0" applyAlignment="1" applyBorder="1" applyFont="1">
      <alignment readingOrder="0"/>
    </xf>
    <xf borderId="86" fillId="15" fontId="10" numFmtId="0" xfId="0" applyBorder="1" applyFont="1"/>
    <xf borderId="87" fillId="15" fontId="10" numFmtId="0" xfId="0" applyBorder="1" applyFont="1"/>
    <xf borderId="84" fillId="3" fontId="10" numFmtId="0" xfId="0" applyBorder="1" applyFont="1"/>
    <xf borderId="85" fillId="3" fontId="10" numFmtId="0" xfId="0" applyBorder="1" applyFont="1"/>
    <xf borderId="84" fillId="14" fontId="10" numFmtId="0" xfId="0" applyBorder="1" applyFont="1"/>
    <xf borderId="85" fillId="14" fontId="10" numFmtId="0" xfId="0" applyBorder="1" applyFont="1"/>
    <xf borderId="0" fillId="0" fontId="17" numFmtId="0" xfId="0" applyAlignment="1" applyFont="1">
      <alignment readingOrder="0"/>
    </xf>
    <xf borderId="88" fillId="3" fontId="10" numFmtId="0" xfId="0" applyAlignment="1" applyBorder="1" applyFont="1">
      <alignment readingOrder="0"/>
    </xf>
    <xf borderId="89" fillId="3" fontId="10" numFmtId="0" xfId="0" applyBorder="1" applyFont="1"/>
    <xf borderId="90" fillId="3" fontId="10" numFmtId="0" xfId="0" applyBorder="1" applyFont="1"/>
    <xf borderId="91" fillId="3" fontId="10" numFmtId="0" xfId="0" applyAlignment="1" applyBorder="1" applyFont="1">
      <alignment readingOrder="0"/>
    </xf>
    <xf borderId="92" fillId="3" fontId="10" numFmtId="0" xfId="0" applyBorder="1" applyFont="1"/>
    <xf borderId="93" fillId="3" fontId="10" numFmtId="0" xfId="0" applyBorder="1" applyFont="1"/>
    <xf borderId="94" fillId="3" fontId="10" numFmtId="0" xfId="0" applyAlignment="1" applyBorder="1" applyFont="1">
      <alignment readingOrder="0"/>
    </xf>
    <xf borderId="95" fillId="3" fontId="10" numFmtId="0" xfId="0" applyBorder="1" applyFont="1"/>
    <xf borderId="96" fillId="3" fontId="10" numFmtId="0" xfId="0" applyBorder="1" applyFont="1"/>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8" fillId="0" fontId="3" numFmtId="0" xfId="0" applyAlignment="1" applyBorder="1" applyFont="1">
      <alignment readingOrder="0"/>
    </xf>
    <xf borderId="9" fillId="0" fontId="14" numFmtId="0" xfId="0" applyBorder="1" applyFont="1"/>
    <xf borderId="9" fillId="0" fontId="2" numFmtId="0" xfId="0" applyBorder="1" applyFont="1"/>
    <xf borderId="10" fillId="0" fontId="2" numFmtId="0" xfId="0" applyBorder="1" applyFont="1"/>
    <xf borderId="0" fillId="0" fontId="2" numFmtId="0" xfId="0" applyAlignment="1" applyFont="1">
      <alignment horizontal="center" vertical="center"/>
    </xf>
    <xf borderId="5" fillId="0" fontId="21" numFmtId="0" xfId="0" applyAlignment="1" applyBorder="1" applyFont="1">
      <alignment readingOrder="0" shrinkToFit="0" wrapText="1"/>
    </xf>
    <xf borderId="6" fillId="0" fontId="13" numFmtId="0" xfId="0" applyAlignment="1" applyBorder="1" applyFont="1">
      <alignment readingOrder="0" shrinkToFit="0" wrapText="1"/>
    </xf>
    <xf borderId="7" fillId="0" fontId="13" numFmtId="0" xfId="0" applyAlignment="1" applyBorder="1" applyFont="1">
      <alignment readingOrder="0" shrinkToFit="0" wrapText="1"/>
    </xf>
    <xf borderId="5" fillId="0" fontId="9" numFmtId="0" xfId="0" applyAlignment="1" applyBorder="1" applyFont="1">
      <alignment readingOrder="0" shrinkToFit="0" wrapText="1"/>
    </xf>
    <xf borderId="6" fillId="0" fontId="9" numFmtId="0" xfId="0" applyAlignment="1" applyBorder="1" applyFont="1">
      <alignment readingOrder="0" shrinkToFit="0" wrapText="1"/>
    </xf>
    <xf borderId="7" fillId="0" fontId="9" numFmtId="0" xfId="0" applyAlignment="1" applyBorder="1" applyFont="1">
      <alignment readingOrder="0" shrinkToFit="0" wrapText="1"/>
    </xf>
    <xf borderId="0" fillId="0" fontId="2" numFmtId="0" xfId="0" applyAlignment="1" applyFont="1">
      <alignment shrinkToFit="0" wrapText="1"/>
    </xf>
    <xf borderId="97" fillId="0" fontId="10" numFmtId="0" xfId="0" applyAlignment="1" applyBorder="1" applyFont="1">
      <alignment readingOrder="0"/>
    </xf>
    <xf borderId="98" fillId="0" fontId="10" numFmtId="0" xfId="0" applyAlignment="1" applyBorder="1" applyFont="1">
      <alignment readingOrder="0"/>
    </xf>
    <xf borderId="98" fillId="0" fontId="10" numFmtId="165" xfId="0" applyAlignment="1" applyBorder="1" applyFont="1" applyNumberFormat="1">
      <alignment readingOrder="0"/>
    </xf>
    <xf borderId="99" fillId="0" fontId="10" numFmtId="0" xfId="0" applyAlignment="1" applyBorder="1" applyFont="1">
      <alignment readingOrder="0"/>
    </xf>
    <xf borderId="98" fillId="0" fontId="10" numFmtId="165" xfId="0" applyBorder="1" applyFont="1" applyNumberFormat="1"/>
    <xf borderId="98" fillId="0" fontId="10" numFmtId="0" xfId="0" applyBorder="1" applyFont="1"/>
    <xf borderId="99" fillId="0" fontId="10" numFmtId="0" xfId="0" applyBorder="1" applyFont="1"/>
    <xf borderId="100" fillId="0" fontId="10" numFmtId="0" xfId="0" applyAlignment="1" applyBorder="1" applyFont="1">
      <alignment readingOrder="0"/>
    </xf>
    <xf borderId="101" fillId="0" fontId="10" numFmtId="0" xfId="0" applyAlignment="1" applyBorder="1" applyFont="1">
      <alignment readingOrder="0"/>
    </xf>
    <xf borderId="101" fillId="0" fontId="10" numFmtId="165" xfId="0" applyAlignment="1" applyBorder="1" applyFont="1" applyNumberFormat="1">
      <alignment readingOrder="0"/>
    </xf>
    <xf borderId="102" fillId="0" fontId="10" numFmtId="0" xfId="0" applyAlignment="1" applyBorder="1" applyFont="1">
      <alignment readingOrder="0"/>
    </xf>
    <xf borderId="101" fillId="0" fontId="10" numFmtId="0" xfId="0" applyBorder="1" applyFont="1"/>
    <xf borderId="102" fillId="0" fontId="10" numFmtId="0" xfId="0" applyBorder="1" applyFont="1"/>
    <xf borderId="0" fillId="0" fontId="10" numFmtId="0" xfId="0" applyAlignment="1" applyFont="1">
      <alignment readingOrder="0"/>
    </xf>
    <xf borderId="0" fillId="0" fontId="10" numFmtId="165" xfId="0" applyFont="1" applyNumberFormat="1"/>
    <xf borderId="0" fillId="0" fontId="10" numFmtId="0" xfId="0" applyFont="1"/>
    <xf borderId="103" fillId="0" fontId="3" numFmtId="0" xfId="0" applyAlignment="1" applyBorder="1" applyFont="1">
      <alignment readingOrder="0"/>
    </xf>
    <xf borderId="104" fillId="0" fontId="14" numFmtId="0" xfId="0" applyBorder="1" applyFont="1"/>
    <xf borderId="5" fillId="0" fontId="22" numFmtId="0" xfId="0" applyAlignment="1" applyBorder="1" applyFont="1">
      <alignment shrinkToFit="0" wrapText="1"/>
    </xf>
    <xf borderId="101" fillId="0" fontId="10" numFmtId="165" xfId="0" applyBorder="1" applyFont="1" applyNumberFormat="1"/>
    <xf borderId="4" fillId="0" fontId="10" numFmtId="165" xfId="0" applyBorder="1" applyFont="1" applyNumberFormat="1"/>
    <xf borderId="0" fillId="3" fontId="23" numFmtId="0" xfId="0" applyAlignment="1" applyFont="1">
      <alignment shrinkToFit="0" wrapText="0"/>
    </xf>
    <xf borderId="0" fillId="3" fontId="24" numFmtId="0" xfId="0" applyAlignment="1" applyFont="1">
      <alignment readingOrder="0"/>
    </xf>
    <xf borderId="0" fillId="0" fontId="25" numFmtId="0" xfId="0" applyAlignment="1" applyFont="1">
      <alignment readingOrder="0"/>
    </xf>
    <xf borderId="0" fillId="0" fontId="25" numFmtId="0" xfId="0" applyFont="1"/>
    <xf borderId="0" fillId="0" fontId="15" numFmtId="0" xfId="0" applyAlignment="1" applyFont="1">
      <alignment shrinkToFit="0" wrapText="0"/>
    </xf>
    <xf borderId="0" fillId="3" fontId="15" numFmtId="0" xfId="0" applyAlignment="1" applyFont="1">
      <alignment shrinkToFit="0" wrapText="0"/>
    </xf>
    <xf borderId="0" fillId="3" fontId="26" numFmtId="0" xfId="0" applyAlignment="1" applyFont="1">
      <alignment readingOrder="0" shrinkToFit="0" wrapText="1"/>
    </xf>
    <xf borderId="8" fillId="2" fontId="3" numFmtId="0" xfId="0" applyAlignment="1" applyBorder="1" applyFont="1">
      <alignment readingOrder="0" shrinkToFit="0" wrapText="1"/>
    </xf>
    <xf borderId="104" fillId="2" fontId="4" numFmtId="0" xfId="0" applyBorder="1" applyFont="1"/>
    <xf borderId="105" fillId="2" fontId="3" numFmtId="0" xfId="0" applyAlignment="1" applyBorder="1" applyFont="1">
      <alignment readingOrder="0" shrinkToFit="0" wrapText="0"/>
    </xf>
    <xf borderId="105" fillId="2" fontId="2" numFmtId="0" xfId="0" applyAlignment="1" applyBorder="1" applyFont="1">
      <alignment readingOrder="0" shrinkToFit="0" wrapText="1"/>
    </xf>
    <xf borderId="105" fillId="2" fontId="4" numFmtId="0" xfId="0" applyAlignment="1" applyBorder="1" applyFont="1">
      <alignment shrinkToFit="0" wrapText="1"/>
    </xf>
    <xf borderId="105" fillId="2" fontId="2" numFmtId="0" xfId="0" applyAlignment="1" applyBorder="1" applyFont="1">
      <alignment shrinkToFit="0" wrapText="1"/>
    </xf>
    <xf borderId="105" fillId="2" fontId="3" numFmtId="0" xfId="0" applyAlignment="1" applyBorder="1" applyFont="1">
      <alignment readingOrder="0" shrinkToFit="0" wrapText="1"/>
    </xf>
    <xf borderId="106" fillId="2" fontId="27" numFmtId="0" xfId="0" applyAlignment="1" applyBorder="1" applyFont="1">
      <alignment horizontal="center" shrinkToFit="0" wrapText="1"/>
    </xf>
    <xf borderId="107" fillId="0" fontId="5" numFmtId="0" xfId="0" applyBorder="1" applyFont="1"/>
    <xf borderId="8" fillId="2" fontId="3" numFmtId="0" xfId="0" applyAlignment="1" applyBorder="1" applyFont="1">
      <alignment vertical="bottom"/>
    </xf>
    <xf borderId="9" fillId="2" fontId="4" numFmtId="0" xfId="0" applyBorder="1" applyFont="1"/>
    <xf borderId="10" fillId="2" fontId="4" numFmtId="0" xfId="0" applyBorder="1" applyFont="1"/>
    <xf borderId="0" fillId="3" fontId="3" numFmtId="0" xfId="0" applyAlignment="1" applyFont="1">
      <alignment shrinkToFit="0" vertical="bottom" wrapText="0"/>
    </xf>
    <xf borderId="5" fillId="3" fontId="9" numFmtId="0" xfId="0" applyAlignment="1" applyBorder="1" applyFont="1">
      <alignment readingOrder="0" shrinkToFit="0" wrapText="1"/>
    </xf>
    <xf borderId="6" fillId="3" fontId="13" numFmtId="0" xfId="0" applyAlignment="1" applyBorder="1" applyFont="1">
      <alignment readingOrder="0" shrinkToFit="0" wrapText="1"/>
    </xf>
    <xf borderId="7" fillId="3" fontId="13" numFmtId="0" xfId="0" applyAlignment="1" applyBorder="1" applyFont="1">
      <alignment readingOrder="0" shrinkToFit="0" wrapText="1"/>
    </xf>
    <xf borderId="107" fillId="0" fontId="6" numFmtId="0" xfId="0" applyAlignment="1" applyBorder="1" applyFont="1">
      <alignment readingOrder="0" shrinkToFit="0" wrapText="1"/>
    </xf>
    <xf borderId="107" fillId="3" fontId="10" numFmtId="0" xfId="0" applyAlignment="1" applyBorder="1" applyFont="1">
      <alignment readingOrder="0"/>
    </xf>
    <xf borderId="108" fillId="3" fontId="10" numFmtId="0" xfId="0" applyAlignment="1" applyBorder="1" applyFont="1">
      <alignment vertical="bottom"/>
    </xf>
    <xf borderId="27" fillId="3" fontId="10" numFmtId="166" xfId="0" applyAlignment="1" applyBorder="1" applyFont="1" applyNumberFormat="1">
      <alignment vertical="bottom"/>
    </xf>
    <xf borderId="0" fillId="3" fontId="14" numFmtId="0" xfId="0" applyAlignment="1" applyFont="1">
      <alignment shrinkToFit="0" vertical="bottom" wrapText="0"/>
    </xf>
    <xf borderId="97" fillId="23" fontId="28" numFmtId="3" xfId="0" applyAlignment="1" applyBorder="1" applyFill="1" applyFont="1" applyNumberFormat="1">
      <alignment readingOrder="0" shrinkToFit="0" wrapText="1"/>
    </xf>
    <xf borderId="98" fillId="23" fontId="11" numFmtId="0" xfId="0" applyAlignment="1" applyBorder="1" applyFont="1">
      <alignment readingOrder="0" shrinkToFit="0" wrapText="1"/>
    </xf>
    <xf borderId="98" fillId="23" fontId="10" numFmtId="3" xfId="0" applyAlignment="1" applyBorder="1" applyFont="1" applyNumberFormat="1">
      <alignment readingOrder="0" shrinkToFit="0" wrapText="1"/>
    </xf>
    <xf borderId="98" fillId="23" fontId="10" numFmtId="0" xfId="0" applyAlignment="1" applyBorder="1" applyFont="1">
      <alignment readingOrder="0" shrinkToFit="0" wrapText="1"/>
    </xf>
    <xf borderId="98" fillId="23" fontId="28" numFmtId="0" xfId="0" applyAlignment="1" applyBorder="1" applyFont="1">
      <alignment shrinkToFit="0" wrapText="1"/>
    </xf>
    <xf borderId="98" fillId="23" fontId="10" numFmtId="0" xfId="0" applyAlignment="1" applyBorder="1" applyFont="1">
      <alignment shrinkToFit="0" wrapText="1"/>
    </xf>
    <xf borderId="99" fillId="23" fontId="10" numFmtId="0" xfId="0" applyAlignment="1" applyBorder="1" applyFont="1">
      <alignment shrinkToFit="0" wrapText="1"/>
    </xf>
    <xf borderId="107" fillId="0" fontId="14" numFmtId="0" xfId="0" applyAlignment="1" applyBorder="1" applyFont="1">
      <alignment shrinkToFit="0" wrapText="1"/>
    </xf>
    <xf borderId="109" fillId="23" fontId="11" numFmtId="0" xfId="0" applyAlignment="1" applyBorder="1" applyFont="1">
      <alignment readingOrder="0"/>
    </xf>
    <xf borderId="110" fillId="23" fontId="10" numFmtId="0" xfId="0" applyAlignment="1" applyBorder="1" applyFont="1">
      <alignment vertical="bottom"/>
    </xf>
    <xf borderId="111" fillId="23" fontId="11" numFmtId="165" xfId="0" applyAlignment="1" applyBorder="1" applyFont="1" applyNumberFormat="1">
      <alignment vertical="bottom"/>
    </xf>
    <xf borderId="0" fillId="3" fontId="6" numFmtId="0" xfId="0" applyAlignment="1" applyFont="1">
      <alignment shrinkToFit="0" vertical="bottom" wrapText="0"/>
    </xf>
    <xf borderId="97" fillId="3" fontId="28" numFmtId="3" xfId="0" applyAlignment="1" applyBorder="1" applyFont="1" applyNumberFormat="1">
      <alignment readingOrder="0" shrinkToFit="0" wrapText="1"/>
    </xf>
    <xf borderId="98" fillId="3" fontId="11" numFmtId="0" xfId="0" applyAlignment="1" applyBorder="1" applyFont="1">
      <alignment readingOrder="0" shrinkToFit="0" wrapText="1"/>
    </xf>
    <xf borderId="98" fillId="3" fontId="10" numFmtId="0" xfId="0" applyAlignment="1" applyBorder="1" applyFont="1">
      <alignment readingOrder="0" shrinkToFit="0" wrapText="1"/>
    </xf>
    <xf borderId="98" fillId="3" fontId="10" numFmtId="3" xfId="0" applyAlignment="1" applyBorder="1" applyFont="1" applyNumberFormat="1">
      <alignment readingOrder="0" shrinkToFit="0" wrapText="1"/>
    </xf>
    <xf borderId="99" fillId="3" fontId="10" numFmtId="0" xfId="0" applyAlignment="1" applyBorder="1" applyFont="1">
      <alignment readingOrder="0" shrinkToFit="0" wrapText="1"/>
    </xf>
    <xf borderId="107" fillId="0" fontId="14" numFmtId="0" xfId="0" applyAlignment="1" applyBorder="1" applyFont="1">
      <alignment readingOrder="0" shrinkToFit="0" wrapText="1"/>
    </xf>
    <xf borderId="0" fillId="0" fontId="5" numFmtId="0" xfId="0" applyFont="1"/>
    <xf borderId="0" fillId="3" fontId="5" numFmtId="0" xfId="0" applyAlignment="1" applyFont="1">
      <alignment shrinkToFit="0" wrapText="0"/>
    </xf>
    <xf borderId="98" fillId="3" fontId="10" numFmtId="0" xfId="0" applyAlignment="1" applyBorder="1" applyFont="1">
      <alignment shrinkToFit="0" wrapText="1"/>
    </xf>
    <xf borderId="99" fillId="3" fontId="10" numFmtId="0" xfId="0" applyAlignment="1" applyBorder="1" applyFont="1">
      <alignment shrinkToFit="0" wrapText="1"/>
    </xf>
    <xf borderId="100" fillId="23" fontId="28" numFmtId="3" xfId="0" applyAlignment="1" applyBorder="1" applyFont="1" applyNumberFormat="1">
      <alignment readingOrder="0" shrinkToFit="0" wrapText="1"/>
    </xf>
    <xf borderId="101" fillId="23" fontId="11" numFmtId="0" xfId="0" applyAlignment="1" applyBorder="1" applyFont="1">
      <alignment readingOrder="0" shrinkToFit="0" wrapText="1"/>
    </xf>
    <xf borderId="101" fillId="23" fontId="10" numFmtId="0" xfId="0" applyAlignment="1" applyBorder="1" applyFont="1">
      <alignment readingOrder="0" shrinkToFit="0" wrapText="1"/>
    </xf>
    <xf borderId="101" fillId="23" fontId="10" numFmtId="0" xfId="0" applyAlignment="1" applyBorder="1" applyFont="1">
      <alignment shrinkToFit="0" wrapText="1"/>
    </xf>
    <xf borderId="102" fillId="23" fontId="10" numFmtId="0" xfId="0" applyAlignment="1" applyBorder="1" applyFont="1">
      <alignment shrinkToFit="0" wrapText="1"/>
    </xf>
    <xf borderId="0" fillId="3" fontId="29"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14" numFmtId="0" xfId="0" applyAlignment="1" applyFont="1">
      <alignment shrinkToFit="0" wrapText="0"/>
    </xf>
    <xf borderId="0" fillId="3" fontId="6" numFmtId="0" xfId="0" applyAlignment="1" applyFont="1">
      <alignment readingOrder="0"/>
    </xf>
    <xf borderId="0" fillId="3" fontId="14" numFmtId="0" xfId="0" applyAlignment="1" applyFont="1">
      <alignment vertical="bottom"/>
    </xf>
    <xf borderId="0" fillId="3" fontId="6" numFmtId="0" xfId="0" applyAlignment="1" applyFont="1">
      <alignment vertical="bottom"/>
    </xf>
    <xf borderId="106" fillId="2" fontId="2" numFmtId="0" xfId="0" applyAlignment="1" applyBorder="1" applyFont="1">
      <alignment shrinkToFit="0" wrapText="1"/>
    </xf>
    <xf borderId="0" fillId="0" fontId="14" numFmtId="0" xfId="0" applyAlignment="1" applyFont="1">
      <alignment shrinkToFit="0" wrapText="0"/>
    </xf>
    <xf borderId="0" fillId="0" fontId="14" numFmtId="0" xfId="0" applyAlignment="1" applyFont="1">
      <alignment shrinkToFit="0" wrapText="1"/>
    </xf>
    <xf borderId="0" fillId="3" fontId="30" numFmtId="0" xfId="0" applyFont="1"/>
    <xf borderId="98" fillId="23" fontId="10" numFmtId="3" xfId="0" applyAlignment="1" applyBorder="1" applyFont="1" applyNumberFormat="1">
      <alignment shrinkToFit="0" wrapText="1"/>
    </xf>
    <xf borderId="0" fillId="3" fontId="3" numFmtId="0" xfId="0" applyAlignment="1" applyFont="1">
      <alignment readingOrder="0" shrinkToFit="0" wrapText="0"/>
    </xf>
    <xf borderId="98" fillId="3" fontId="10" numFmtId="3" xfId="0" applyAlignment="1" applyBorder="1" applyFont="1" applyNumberFormat="1">
      <alignment shrinkToFit="0" wrapText="1"/>
    </xf>
    <xf borderId="107" fillId="3" fontId="28" numFmtId="0" xfId="0" applyAlignment="1" applyBorder="1" applyFont="1">
      <alignment readingOrder="0" shrinkToFit="0" wrapText="1"/>
    </xf>
    <xf borderId="112" fillId="3" fontId="4" numFmtId="0" xfId="0" applyBorder="1" applyFont="1"/>
    <xf borderId="99" fillId="3" fontId="31" numFmtId="166" xfId="0" applyAlignment="1" applyBorder="1" applyFont="1" applyNumberFormat="1">
      <alignment readingOrder="0" shrinkToFit="0" wrapText="1"/>
    </xf>
    <xf borderId="0" fillId="3" fontId="14" numFmtId="0" xfId="0" applyAlignment="1" applyFont="1">
      <alignment readingOrder="0" shrinkToFit="0" wrapText="0"/>
    </xf>
    <xf borderId="107" fillId="23" fontId="28" numFmtId="0" xfId="0" applyAlignment="1" applyBorder="1" applyFont="1">
      <alignment readingOrder="0" shrinkToFit="0" wrapText="1"/>
    </xf>
    <xf borderId="112" fillId="23" fontId="4" numFmtId="0" xfId="0" applyBorder="1" applyFont="1"/>
    <xf borderId="99" fillId="23" fontId="31" numFmtId="166" xfId="0" applyAlignment="1" applyBorder="1" applyFont="1" applyNumberFormat="1">
      <alignment readingOrder="0" shrinkToFit="0" wrapText="1"/>
    </xf>
    <xf borderId="100" fillId="3" fontId="28" numFmtId="3" xfId="0" applyAlignment="1" applyBorder="1" applyFont="1" applyNumberFormat="1">
      <alignment readingOrder="0" shrinkToFit="0" wrapText="1"/>
    </xf>
    <xf borderId="101" fillId="3" fontId="11" numFmtId="0" xfId="0" applyAlignment="1" applyBorder="1" applyFont="1">
      <alignment readingOrder="0" shrinkToFit="0" wrapText="1"/>
    </xf>
    <xf borderId="101" fillId="3" fontId="10" numFmtId="0" xfId="0" applyAlignment="1" applyBorder="1" applyFont="1">
      <alignment readingOrder="0" shrinkToFit="0" wrapText="1"/>
    </xf>
    <xf borderId="101" fillId="3" fontId="10" numFmtId="0" xfId="0" applyAlignment="1" applyBorder="1" applyFont="1">
      <alignment shrinkToFit="0" wrapText="1"/>
    </xf>
    <xf borderId="102" fillId="3" fontId="10" numFmtId="3" xfId="0" applyAlignment="1" applyBorder="1" applyFont="1" applyNumberFormat="1">
      <alignment shrinkToFit="0" wrapText="1"/>
    </xf>
    <xf borderId="0" fillId="3" fontId="32" numFmtId="0" xfId="0" applyAlignment="1" applyFont="1">
      <alignment readingOrder="0" shrinkToFit="0" wrapText="1"/>
    </xf>
    <xf borderId="113" fillId="2" fontId="33" numFmtId="0" xfId="0" applyAlignment="1" applyBorder="1" applyFont="1">
      <alignment readingOrder="0" shrinkToFit="0" wrapText="1"/>
    </xf>
    <xf borderId="105" fillId="2" fontId="33" numFmtId="0" xfId="0" applyAlignment="1" applyBorder="1" applyFont="1">
      <alignment readingOrder="0" shrinkToFit="0" wrapText="1"/>
    </xf>
    <xf borderId="103" fillId="2" fontId="34" numFmtId="0" xfId="0" applyAlignment="1" applyBorder="1" applyFont="1">
      <alignment readingOrder="0" shrinkToFit="0" wrapText="1"/>
    </xf>
    <xf borderId="0" fillId="0" fontId="6" numFmtId="0" xfId="0" applyAlignment="1" applyFont="1">
      <alignment readingOrder="0" shrinkToFit="0" wrapText="0"/>
    </xf>
    <xf borderId="109" fillId="3" fontId="35" numFmtId="0" xfId="0" applyAlignment="1" applyBorder="1" applyFont="1">
      <alignment readingOrder="0" shrinkToFit="0" wrapText="1"/>
    </xf>
    <xf borderId="4" fillId="3" fontId="4" numFmtId="0" xfId="0" applyBorder="1" applyFont="1"/>
    <xf borderId="102" fillId="3" fontId="35" numFmtId="165" xfId="0" applyAlignment="1" applyBorder="1" applyFont="1" applyNumberFormat="1">
      <alignment readingOrder="0" shrinkToFit="0" wrapText="1"/>
    </xf>
    <xf borderId="0" fillId="3" fontId="6" numFmtId="0" xfId="0" applyAlignment="1" applyFont="1">
      <alignment readingOrder="0" shrinkToFit="0" wrapText="0"/>
    </xf>
    <xf borderId="0" fillId="0" fontId="14" numFmtId="0" xfId="0" applyAlignment="1" applyFont="1">
      <alignment readingOrder="0" shrinkToFit="0" wrapText="1"/>
    </xf>
    <xf borderId="97" fillId="3" fontId="10" numFmtId="3" xfId="0" applyAlignment="1" applyBorder="1" applyFont="1" applyNumberFormat="1">
      <alignment readingOrder="0" shrinkToFit="0" wrapText="1"/>
    </xf>
    <xf borderId="98" fillId="3" fontId="10" numFmtId="165" xfId="0" applyAlignment="1" applyBorder="1" applyFont="1" applyNumberFormat="1">
      <alignment readingOrder="0" shrinkToFit="0" wrapText="1"/>
    </xf>
    <xf borderId="98" fillId="3" fontId="10" numFmtId="0" xfId="0" applyAlignment="1" applyBorder="1" applyFont="1">
      <alignment readingOrder="0" shrinkToFit="0" wrapText="0"/>
    </xf>
    <xf borderId="114" fillId="3" fontId="10" numFmtId="0" xfId="0" applyAlignment="1" applyBorder="1" applyFont="1">
      <alignment shrinkToFit="0" wrapText="1"/>
    </xf>
    <xf borderId="27" fillId="3" fontId="4" numFmtId="0" xfId="0" applyBorder="1" applyFont="1"/>
    <xf borderId="0" fillId="3" fontId="5" numFmtId="0" xfId="0" applyFont="1"/>
    <xf borderId="0" fillId="0" fontId="5" numFmtId="0" xfId="0" applyAlignment="1" applyFont="1">
      <alignment shrinkToFit="0" wrapText="1"/>
    </xf>
    <xf borderId="97" fillId="23" fontId="10" numFmtId="3" xfId="0" applyAlignment="1" applyBorder="1" applyFont="1" applyNumberFormat="1">
      <alignment readingOrder="0" shrinkToFit="0" wrapText="1"/>
    </xf>
    <xf borderId="98" fillId="23" fontId="10" numFmtId="165" xfId="0" applyAlignment="1" applyBorder="1" applyFont="1" applyNumberFormat="1">
      <alignment readingOrder="0" shrinkToFit="0" wrapText="1"/>
    </xf>
    <xf borderId="98" fillId="23" fontId="10" numFmtId="0" xfId="0" applyAlignment="1" applyBorder="1" applyFont="1">
      <alignment readingOrder="0" shrinkToFit="0" wrapText="0"/>
    </xf>
    <xf borderId="114" fillId="23" fontId="10" numFmtId="0" xfId="0" applyAlignment="1" applyBorder="1" applyFont="1">
      <alignment shrinkToFit="0" wrapText="1"/>
    </xf>
    <xf borderId="27" fillId="23" fontId="4" numFmtId="0" xfId="0" applyBorder="1" applyFont="1"/>
    <xf borderId="114" fillId="3" fontId="10" numFmtId="0" xfId="0" applyAlignment="1" applyBorder="1" applyFont="1">
      <alignment readingOrder="0" shrinkToFit="0" wrapText="1"/>
    </xf>
    <xf borderId="98" fillId="3" fontId="10" numFmtId="165" xfId="0" applyAlignment="1" applyBorder="1" applyFont="1" applyNumberFormat="1">
      <alignment shrinkToFit="0" wrapText="1"/>
    </xf>
    <xf borderId="110" fillId="3" fontId="4" numFmtId="0" xfId="0" applyBorder="1" applyFont="1"/>
    <xf borderId="98" fillId="23" fontId="10" numFmtId="165" xfId="0" applyAlignment="1" applyBorder="1" applyFont="1" applyNumberFormat="1">
      <alignment shrinkToFit="0" wrapText="1"/>
    </xf>
    <xf borderId="98" fillId="3" fontId="36" numFmtId="0" xfId="0" applyAlignment="1" applyBorder="1" applyFont="1">
      <alignment readingOrder="0" shrinkToFit="0" wrapText="1"/>
    </xf>
    <xf borderId="114" fillId="23" fontId="10" numFmtId="0" xfId="0" applyAlignment="1" applyBorder="1" applyFont="1">
      <alignment readingOrder="0" shrinkToFit="0" wrapText="1"/>
    </xf>
    <xf borderId="98" fillId="23" fontId="10" numFmtId="0" xfId="0" applyAlignment="1" applyBorder="1" applyFont="1">
      <alignment shrinkToFit="0" wrapText="1"/>
    </xf>
    <xf borderId="98" fillId="3" fontId="10" numFmtId="0" xfId="0" applyAlignment="1" applyBorder="1" applyFont="1">
      <alignment shrinkToFit="0" wrapText="1"/>
    </xf>
    <xf borderId="0" fillId="3" fontId="30" numFmtId="0" xfId="0" applyAlignment="1" applyFont="1">
      <alignment shrinkToFit="0" wrapText="0"/>
    </xf>
    <xf borderId="98" fillId="3" fontId="10" numFmtId="0" xfId="0" applyAlignment="1" applyBorder="1" applyFont="1">
      <alignment readingOrder="0" shrinkToFit="0" wrapText="1"/>
    </xf>
    <xf borderId="97" fillId="23" fontId="10" numFmtId="3" xfId="0" applyAlignment="1" applyBorder="1" applyFont="1" applyNumberFormat="1">
      <alignment shrinkToFit="0" wrapText="1"/>
    </xf>
    <xf borderId="97" fillId="3" fontId="10" numFmtId="3" xfId="0" applyAlignment="1" applyBorder="1" applyFont="1" applyNumberFormat="1">
      <alignment shrinkToFit="0" wrapText="1"/>
    </xf>
    <xf borderId="98" fillId="3" fontId="36" numFmtId="0" xfId="0" applyAlignment="1" applyBorder="1" applyFont="1">
      <alignment shrinkToFit="0" wrapText="1"/>
    </xf>
    <xf borderId="0" fillId="3" fontId="10" numFmtId="0" xfId="0" applyAlignment="1" applyFont="1">
      <alignment shrinkToFit="0" wrapText="1"/>
    </xf>
    <xf borderId="98" fillId="23" fontId="36" numFmtId="0" xfId="0" applyAlignment="1" applyBorder="1" applyFont="1">
      <alignment shrinkToFit="0" wrapText="1"/>
    </xf>
    <xf borderId="98" fillId="3" fontId="10" numFmtId="0" xfId="0" applyAlignment="1" applyBorder="1" applyFont="1">
      <alignment readingOrder="0" shrinkToFit="0" wrapText="1"/>
    </xf>
    <xf borderId="115" fillId="23" fontId="10" numFmtId="3" xfId="0" applyAlignment="1" applyBorder="1" applyFont="1" applyNumberFormat="1">
      <alignment horizontal="right" readingOrder="0" shrinkToFit="0" vertical="bottom" wrapText="1"/>
    </xf>
    <xf borderId="116" fillId="23" fontId="31" numFmtId="0" xfId="0" applyAlignment="1" applyBorder="1" applyFont="1">
      <alignment readingOrder="0" shrinkToFit="0" vertical="bottom" wrapText="1"/>
    </xf>
    <xf borderId="116" fillId="23" fontId="10" numFmtId="165" xfId="0" applyAlignment="1" applyBorder="1" applyFont="1" applyNumberFormat="1">
      <alignment horizontal="right" readingOrder="0" shrinkToFit="0" vertical="bottom" wrapText="1"/>
    </xf>
    <xf borderId="115" fillId="3" fontId="10" numFmtId="3" xfId="0" applyAlignment="1" applyBorder="1" applyFont="1" applyNumberFormat="1">
      <alignment readingOrder="0" shrinkToFit="0" wrapText="1"/>
    </xf>
    <xf borderId="117" fillId="3" fontId="36" numFmtId="0" xfId="0" applyAlignment="1" applyBorder="1" applyFont="1">
      <alignment readingOrder="0" shrinkToFit="0" wrapText="1"/>
    </xf>
    <xf borderId="117" fillId="3" fontId="10" numFmtId="165" xfId="0" applyAlignment="1" applyBorder="1" applyFont="1" applyNumberFormat="1">
      <alignment readingOrder="0" shrinkToFit="0" wrapText="1"/>
    </xf>
    <xf borderId="98" fillId="23" fontId="10" numFmtId="0" xfId="0" applyAlignment="1" applyBorder="1" applyFont="1">
      <alignment readingOrder="0" shrinkToFit="0" wrapText="1"/>
    </xf>
    <xf borderId="0" fillId="3" fontId="10" numFmtId="0" xfId="0" applyAlignment="1" applyFont="1">
      <alignment readingOrder="0" shrinkToFit="0" wrapText="1"/>
    </xf>
    <xf borderId="98" fillId="23" fontId="36" numFmtId="0" xfId="0" applyAlignment="1" applyBorder="1" applyFont="1">
      <alignment readingOrder="0" shrinkToFit="0" wrapText="1"/>
    </xf>
    <xf borderId="97" fillId="3" fontId="36" numFmtId="3" xfId="0" applyAlignment="1" applyBorder="1" applyFont="1" applyNumberFormat="1">
      <alignment readingOrder="0" shrinkToFit="0" wrapText="1"/>
    </xf>
    <xf borderId="98" fillId="3" fontId="37" numFmtId="0" xfId="0" applyAlignment="1" applyBorder="1" applyFont="1">
      <alignment readingOrder="0" shrinkToFit="0" wrapText="1"/>
    </xf>
    <xf borderId="116" fillId="23" fontId="10" numFmtId="165" xfId="0" applyAlignment="1" applyBorder="1" applyFont="1" applyNumberFormat="1">
      <alignment horizontal="right" shrinkToFit="0" vertical="bottom" wrapText="1"/>
    </xf>
    <xf borderId="116" fillId="23" fontId="38" numFmtId="0" xfId="0" applyAlignment="1" applyBorder="1" applyFont="1">
      <alignment vertical="bottom"/>
    </xf>
    <xf borderId="116" fillId="23" fontId="10" numFmtId="0" xfId="0" applyAlignment="1" applyBorder="1" applyFont="1">
      <alignment readingOrder="0" shrinkToFit="0" vertical="bottom" wrapText="0"/>
    </xf>
    <xf borderId="0" fillId="23" fontId="31" numFmtId="0" xfId="0" applyAlignment="1" applyFont="1">
      <alignment readingOrder="0" shrinkToFit="0" vertical="bottom" wrapText="1"/>
    </xf>
    <xf borderId="117" fillId="3" fontId="39" numFmtId="0" xfId="0" applyAlignment="1" applyBorder="1" applyFont="1">
      <alignment readingOrder="0" shrinkToFit="0" wrapText="1"/>
    </xf>
    <xf borderId="98" fillId="23" fontId="39" numFmtId="0" xfId="0" applyAlignment="1" applyBorder="1" applyFont="1">
      <alignment readingOrder="0" shrinkToFit="0" wrapText="1"/>
    </xf>
    <xf borderId="0" fillId="23" fontId="31" numFmtId="0" xfId="0" applyAlignment="1" applyFont="1">
      <alignment horizontal="left" readingOrder="0"/>
    </xf>
    <xf borderId="97" fillId="3" fontId="11" numFmtId="3" xfId="0" applyAlignment="1" applyBorder="1" applyFont="1" applyNumberFormat="1">
      <alignment readingOrder="0" shrinkToFit="0" wrapText="1"/>
    </xf>
    <xf borderId="97" fillId="23" fontId="11" numFmtId="3" xfId="0" applyAlignment="1" applyBorder="1" applyFont="1" applyNumberFormat="1">
      <alignment readingOrder="0" shrinkToFit="0" wrapText="1"/>
    </xf>
    <xf borderId="98" fillId="3" fontId="10" numFmtId="0" xfId="0" applyAlignment="1" applyBorder="1" applyFont="1">
      <alignment shrinkToFit="0" wrapText="0"/>
    </xf>
    <xf borderId="98" fillId="23" fontId="10" numFmtId="0" xfId="0" applyAlignment="1" applyBorder="1" applyFont="1">
      <alignment shrinkToFit="0" wrapText="0"/>
    </xf>
    <xf borderId="0" fillId="0" fontId="40" numFmtId="0" xfId="0" applyAlignment="1" applyFont="1">
      <alignment readingOrder="0" shrinkToFit="0" wrapText="0"/>
    </xf>
    <xf borderId="0" fillId="0" fontId="41" numFmtId="0" xfId="0" applyAlignment="1" applyFont="1">
      <alignment readingOrder="0" shrinkToFit="0" wrapText="1"/>
    </xf>
    <xf borderId="0" fillId="0" fontId="15" numFmtId="0" xfId="0" applyAlignment="1" applyFont="1">
      <alignment readingOrder="0"/>
    </xf>
    <xf borderId="0" fillId="0" fontId="5" numFmtId="0" xfId="0" applyAlignment="1" applyFont="1">
      <alignment vertical="center"/>
    </xf>
    <xf borderId="0" fillId="0" fontId="5" numFmtId="0" xfId="0" applyAlignment="1" applyFont="1">
      <alignment readingOrder="0"/>
    </xf>
    <xf borderId="100" fillId="23" fontId="10" numFmtId="3" xfId="0" applyAlignment="1" applyBorder="1" applyFont="1" applyNumberFormat="1">
      <alignment shrinkToFit="0" wrapText="1"/>
    </xf>
    <xf borderId="101" fillId="23" fontId="10" numFmtId="165" xfId="0" applyAlignment="1" applyBorder="1" applyFont="1" applyNumberFormat="1">
      <alignment shrinkToFit="0" wrapText="1"/>
    </xf>
    <xf borderId="101" fillId="23" fontId="10" numFmtId="165" xfId="0" applyAlignment="1" applyBorder="1" applyFont="1" applyNumberFormat="1">
      <alignment readingOrder="0" shrinkToFit="0" wrapText="1"/>
    </xf>
    <xf borderId="101" fillId="23" fontId="10" numFmtId="0" xfId="0" applyAlignment="1" applyBorder="1" applyFont="1">
      <alignment shrinkToFit="0" wrapText="0"/>
    </xf>
    <xf borderId="118" fillId="23" fontId="10" numFmtId="0" xfId="0" applyAlignment="1" applyBorder="1" applyFont="1">
      <alignment shrinkToFit="0" wrapText="1"/>
    </xf>
    <xf borderId="4" fillId="23" fontId="4" numFmtId="0" xfId="0" applyBorder="1" applyFont="1"/>
    <xf borderId="111" fillId="23" fontId="4" numFmtId="0" xfId="0" applyBorder="1" applyFont="1"/>
    <xf borderId="0" fillId="3" fontId="42" numFmtId="0" xfId="0" applyAlignment="1" applyFont="1">
      <alignment shrinkToFit="0" wrapText="0"/>
    </xf>
    <xf borderId="0" fillId="3" fontId="1" numFmtId="0" xfId="0" applyAlignment="1" applyFont="1">
      <alignment readingOrder="0"/>
    </xf>
    <xf borderId="0" fillId="0" fontId="15" numFmtId="0" xfId="0" applyAlignment="1" applyFont="1">
      <alignment readingOrder="0"/>
    </xf>
    <xf borderId="0" fillId="0" fontId="15" numFmtId="0" xfId="0" applyFont="1"/>
    <xf borderId="0" fillId="3" fontId="43" numFmtId="0" xfId="0" applyAlignment="1" applyFont="1">
      <alignment readingOrder="0"/>
    </xf>
    <xf borderId="0" fillId="0" fontId="6" numFmtId="0" xfId="0" applyAlignment="1" applyFont="1">
      <alignment readingOrder="0" shrinkToFit="0" wrapText="1"/>
    </xf>
    <xf borderId="8" fillId="4" fontId="3" numFmtId="0" xfId="0" applyAlignment="1" applyBorder="1" applyFont="1">
      <alignment readingOrder="0" shrinkToFit="0" wrapText="1"/>
    </xf>
    <xf borderId="0" fillId="0" fontId="3" numFmtId="0" xfId="0" applyAlignment="1" applyFont="1">
      <alignment horizontal="center" readingOrder="0" shrinkToFit="0" vertical="center" wrapText="1"/>
    </xf>
    <xf borderId="119" fillId="0" fontId="3" numFmtId="0" xfId="0" applyAlignment="1" applyBorder="1" applyFont="1">
      <alignment readingOrder="0" shrinkToFit="0" wrapText="1"/>
    </xf>
    <xf borderId="120" fillId="0" fontId="44" numFmtId="0" xfId="0" applyAlignment="1" applyBorder="1" applyFont="1">
      <alignment readingOrder="0" shrinkToFit="0" wrapText="1"/>
    </xf>
    <xf borderId="0" fillId="0" fontId="44" numFmtId="0" xfId="0" applyAlignment="1" applyFont="1">
      <alignment horizontal="center" readingOrder="0" shrinkToFit="0" wrapText="1"/>
    </xf>
    <xf borderId="0" fillId="0" fontId="5" numFmtId="0" xfId="0" applyAlignment="1" applyFont="1">
      <alignment shrinkToFit="0" wrapText="0"/>
    </xf>
    <xf borderId="25" fillId="3" fontId="31" numFmtId="166" xfId="0" applyAlignment="1" applyBorder="1" applyFont="1" applyNumberFormat="1">
      <alignment readingOrder="0" shrinkToFit="0" wrapText="1"/>
    </xf>
    <xf borderId="23" fillId="0" fontId="31" numFmtId="0" xfId="0" applyAlignment="1" applyBorder="1" applyFont="1">
      <alignment readingOrder="0" shrinkToFit="0" wrapText="1"/>
    </xf>
    <xf borderId="25" fillId="0" fontId="31" numFmtId="3" xfId="0" applyAlignment="1" applyBorder="1" applyFont="1" applyNumberFormat="1">
      <alignment readingOrder="0" shrinkToFit="0" wrapText="1"/>
    </xf>
    <xf borderId="107" fillId="7" fontId="28" numFmtId="0" xfId="0" applyAlignment="1" applyBorder="1" applyFont="1">
      <alignment readingOrder="0" shrinkToFit="0" wrapText="1"/>
    </xf>
    <xf borderId="112" fillId="7" fontId="4" numFmtId="0" xfId="0" applyBorder="1" applyFont="1"/>
    <xf borderId="25" fillId="7" fontId="31" numFmtId="166" xfId="0" applyAlignment="1" applyBorder="1" applyFont="1" applyNumberFormat="1">
      <alignment readingOrder="0" shrinkToFit="0" wrapText="1"/>
    </xf>
    <xf borderId="23" fillId="0" fontId="31" numFmtId="0" xfId="0" applyAlignment="1" applyBorder="1" applyFont="1">
      <alignment readingOrder="0" shrinkToFit="0" wrapText="0"/>
    </xf>
    <xf borderId="36" fillId="0" fontId="35" numFmtId="0" xfId="0" applyAlignment="1" applyBorder="1" applyFont="1">
      <alignment readingOrder="0" shrinkToFit="0" wrapText="1"/>
    </xf>
    <xf borderId="38" fillId="0" fontId="35" numFmtId="0" xfId="0" applyAlignment="1" applyBorder="1" applyFont="1">
      <alignment readingOrder="0" shrinkToFit="0" wrapText="1"/>
    </xf>
    <xf borderId="109" fillId="3" fontId="45" numFmtId="0" xfId="0" applyAlignment="1" applyBorder="1" applyFont="1">
      <alignment readingOrder="0" shrinkToFit="0" wrapText="1"/>
    </xf>
    <xf borderId="121" fillId="3" fontId="4" numFmtId="0" xfId="0" applyBorder="1" applyFont="1"/>
    <xf borderId="38" fillId="3" fontId="35" numFmtId="165" xfId="0" applyAlignment="1" applyBorder="1" applyFont="1" applyNumberFormat="1">
      <alignment readingOrder="0" shrinkToFit="0" wrapText="1"/>
    </xf>
    <xf borderId="122" fillId="4" fontId="3" numFmtId="0" xfId="0" applyAlignment="1" applyBorder="1" applyFont="1">
      <alignment horizontal="left" readingOrder="0" shrinkToFit="0" wrapText="1"/>
    </xf>
    <xf borderId="3" fillId="3" fontId="31" numFmtId="0" xfId="0" applyAlignment="1" applyBorder="1" applyFont="1">
      <alignment shrinkToFit="0" wrapText="1"/>
    </xf>
    <xf borderId="38" fillId="3" fontId="35" numFmtId="165" xfId="0" applyAlignment="1" applyBorder="1" applyFont="1" applyNumberFormat="1">
      <alignment readingOrder="0" shrinkToFit="0" wrapText="1"/>
    </xf>
    <xf borderId="0" fillId="0" fontId="46" numFmtId="0" xfId="0" applyAlignment="1" applyFont="1">
      <alignment readingOrder="0" shrinkToFit="0" wrapText="1"/>
    </xf>
    <xf borderId="0" fillId="0" fontId="47" numFmtId="0" xfId="0" applyAlignment="1" applyFont="1">
      <alignment readingOrder="0" shrinkToFit="0" wrapText="1"/>
    </xf>
    <xf borderId="0" fillId="0" fontId="44" numFmtId="0" xfId="0" applyAlignment="1" applyFont="1">
      <alignment readingOrder="0" shrinkToFit="0" wrapText="1"/>
    </xf>
    <xf borderId="0" fillId="0" fontId="48" numFmtId="0" xfId="0" applyAlignment="1" applyFont="1">
      <alignment shrinkToFit="0" wrapText="1"/>
    </xf>
    <xf borderId="0" fillId="0" fontId="47" numFmtId="0" xfId="0" applyAlignment="1" applyFont="1">
      <alignment shrinkToFit="0" wrapText="1"/>
    </xf>
    <xf borderId="123" fillId="4" fontId="4" numFmtId="0" xfId="0" applyBorder="1" applyFont="1"/>
    <xf borderId="124" fillId="4" fontId="3" numFmtId="0" xfId="0" applyAlignment="1" applyBorder="1" applyFont="1">
      <alignment readingOrder="0" shrinkToFit="0" wrapText="1"/>
    </xf>
    <xf borderId="124" fillId="4" fontId="2" numFmtId="0" xfId="0" applyAlignment="1" applyBorder="1" applyFont="1">
      <alignment readingOrder="0" shrinkToFit="0" wrapText="1"/>
    </xf>
    <xf borderId="124" fillId="4" fontId="4" numFmtId="0" xfId="0" applyAlignment="1" applyBorder="1" applyFont="1">
      <alignment shrinkToFit="0" wrapText="1"/>
    </xf>
    <xf borderId="124" fillId="4" fontId="2" numFmtId="0" xfId="0" applyAlignment="1" applyBorder="1" applyFont="1">
      <alignment shrinkToFit="0" wrapText="1"/>
    </xf>
    <xf borderId="120" fillId="4" fontId="2" numFmtId="0" xfId="0" applyAlignment="1" applyBorder="1" applyFont="1">
      <alignment shrinkToFit="0" wrapText="1"/>
    </xf>
    <xf borderId="11" fillId="3" fontId="9" numFmtId="0" xfId="0" applyAlignment="1" applyBorder="1" applyFont="1">
      <alignment readingOrder="0" shrinkToFit="0" wrapText="1"/>
    </xf>
    <xf borderId="12" fillId="3" fontId="13" numFmtId="0" xfId="0" applyAlignment="1" applyBorder="1" applyFont="1">
      <alignment readingOrder="0" shrinkToFit="0" wrapText="1"/>
    </xf>
    <xf borderId="13" fillId="3" fontId="13" numFmtId="0" xfId="0" applyAlignment="1" applyBorder="1" applyFont="1">
      <alignment readingOrder="0" shrinkToFit="0" wrapText="1"/>
    </xf>
    <xf borderId="26" fillId="7" fontId="28" numFmtId="0" xfId="0" applyAlignment="1" applyBorder="1" applyFont="1">
      <alignment readingOrder="0" shrinkToFit="0" wrapText="1"/>
    </xf>
    <xf borderId="24" fillId="7" fontId="11" numFmtId="0" xfId="0" applyAlignment="1" applyBorder="1" applyFont="1">
      <alignment readingOrder="0" shrinkToFit="0" wrapText="1"/>
    </xf>
    <xf borderId="24" fillId="7" fontId="10" numFmtId="0" xfId="0" applyAlignment="1" applyBorder="1" applyFont="1">
      <alignment readingOrder="0" shrinkToFit="0" wrapText="1"/>
    </xf>
    <xf borderId="24" fillId="7" fontId="28" numFmtId="0" xfId="0" applyAlignment="1" applyBorder="1" applyFont="1">
      <alignment shrinkToFit="0" wrapText="1"/>
    </xf>
    <xf borderId="24" fillId="7" fontId="10" numFmtId="0" xfId="0" applyAlignment="1" applyBorder="1" applyFont="1">
      <alignment shrinkToFit="0" wrapText="1"/>
    </xf>
    <xf borderId="25" fillId="7" fontId="10" numFmtId="0" xfId="0" applyAlignment="1" applyBorder="1" applyFont="1">
      <alignment shrinkToFit="0" wrapText="1"/>
    </xf>
    <xf borderId="26" fillId="3" fontId="28" numFmtId="0" xfId="0" applyAlignment="1" applyBorder="1" applyFont="1">
      <alignment readingOrder="0" shrinkToFit="0" wrapText="1"/>
    </xf>
    <xf borderId="24" fillId="3" fontId="11" numFmtId="0" xfId="0" applyAlignment="1" applyBorder="1" applyFont="1">
      <alignment readingOrder="0" shrinkToFit="0" wrapText="1"/>
    </xf>
    <xf borderId="24" fillId="3" fontId="10" numFmtId="0" xfId="0" applyAlignment="1" applyBorder="1" applyFont="1">
      <alignment readingOrder="0" shrinkToFit="0" wrapText="1"/>
    </xf>
    <xf borderId="25" fillId="3" fontId="10" numFmtId="0" xfId="0" applyAlignment="1" applyBorder="1" applyFont="1">
      <alignment readingOrder="0" shrinkToFit="0" wrapText="1"/>
    </xf>
    <xf borderId="24" fillId="3" fontId="10" numFmtId="0" xfId="0" applyAlignment="1" applyBorder="1" applyFont="1">
      <alignment shrinkToFit="0" wrapText="1"/>
    </xf>
    <xf borderId="25" fillId="3" fontId="10" numFmtId="0" xfId="0" applyAlignment="1" applyBorder="1" applyFont="1">
      <alignment shrinkToFit="0" wrapText="1"/>
    </xf>
    <xf borderId="39" fillId="7" fontId="28" numFmtId="0" xfId="0" applyAlignment="1" applyBorder="1" applyFont="1">
      <alignment readingOrder="0" shrinkToFit="0" wrapText="1"/>
    </xf>
    <xf borderId="37" fillId="7" fontId="11" numFmtId="0" xfId="0" applyAlignment="1" applyBorder="1" applyFont="1">
      <alignment readingOrder="0" shrinkToFit="0" wrapText="1"/>
    </xf>
    <xf borderId="37" fillId="7" fontId="10" numFmtId="0" xfId="0" applyAlignment="1" applyBorder="1" applyFont="1">
      <alignment readingOrder="0" shrinkToFit="0" wrapText="1"/>
    </xf>
    <xf borderId="37" fillId="7" fontId="10" numFmtId="0" xfId="0" applyAlignment="1" applyBorder="1" applyFont="1">
      <alignment shrinkToFit="0" wrapText="1"/>
    </xf>
    <xf borderId="38" fillId="7" fontId="10" numFmtId="0" xfId="0" applyAlignment="1" applyBorder="1" applyFont="1">
      <alignment shrinkToFit="0" wrapText="1"/>
    </xf>
    <xf borderId="124" fillId="4" fontId="49" numFmtId="0" xfId="0" applyAlignment="1" applyBorder="1" applyFont="1">
      <alignment readingOrder="0" shrinkToFit="0" wrapText="1"/>
    </xf>
    <xf borderId="124" fillId="4" fontId="50" numFmtId="0" xfId="0" applyAlignment="1" applyBorder="1" applyFont="1">
      <alignment readingOrder="0" shrinkToFit="0" wrapText="1"/>
    </xf>
    <xf borderId="124" fillId="4" fontId="50" numFmtId="0" xfId="0" applyAlignment="1" applyBorder="1" applyFont="1">
      <alignment shrinkToFit="0" wrapText="1"/>
    </xf>
    <xf borderId="120" fillId="4" fontId="50" numFmtId="0" xfId="0" applyAlignment="1" applyBorder="1" applyFont="1">
      <alignment shrinkToFit="0" wrapText="1"/>
    </xf>
    <xf borderId="36" fillId="3" fontId="28" numFmtId="0" xfId="0" applyAlignment="1" applyBorder="1" applyFont="1">
      <alignment readingOrder="0" shrinkToFit="0" wrapText="1"/>
    </xf>
    <xf borderId="37" fillId="3" fontId="11" numFmtId="0" xfId="0" applyAlignment="1" applyBorder="1" applyFont="1">
      <alignment readingOrder="0" shrinkToFit="0" wrapText="1"/>
    </xf>
    <xf borderId="37" fillId="3" fontId="10" numFmtId="0" xfId="0" applyAlignment="1" applyBorder="1" applyFont="1">
      <alignment readingOrder="0" shrinkToFit="0" wrapText="1"/>
    </xf>
    <xf borderId="37" fillId="3" fontId="10" numFmtId="0" xfId="0" applyAlignment="1" applyBorder="1" applyFont="1">
      <alignment shrinkToFit="0" wrapText="1"/>
    </xf>
    <xf borderId="38" fillId="3" fontId="10" numFmtId="0" xfId="0" applyAlignment="1" applyBorder="1" applyFont="1">
      <alignment shrinkToFit="0" wrapText="1"/>
    </xf>
    <xf borderId="119" fillId="4" fontId="33" numFmtId="0" xfId="0" applyAlignment="1" applyBorder="1" applyFont="1">
      <alignment readingOrder="0" shrinkToFit="0" wrapText="1"/>
    </xf>
    <xf borderId="124" fillId="4" fontId="33" numFmtId="0" xfId="0" applyAlignment="1" applyBorder="1" applyFont="1">
      <alignment readingOrder="0" shrinkToFit="0" wrapText="1"/>
    </xf>
    <xf borderId="124" fillId="4" fontId="33" numFmtId="0" xfId="0" applyAlignment="1" applyBorder="1" applyFont="1">
      <alignment horizontal="center" readingOrder="0" shrinkToFit="0" wrapText="0"/>
    </xf>
    <xf borderId="125" fillId="4" fontId="33" numFmtId="0" xfId="0" applyAlignment="1" applyBorder="1" applyFont="1">
      <alignment readingOrder="0" shrinkToFit="0" wrapText="1"/>
    </xf>
    <xf borderId="0" fillId="0" fontId="14" numFmtId="0" xfId="0" applyAlignment="1" applyFont="1">
      <alignment readingOrder="0" shrinkToFit="0" wrapText="0"/>
    </xf>
    <xf borderId="23" fillId="3" fontId="10" numFmtId="0" xfId="0" applyAlignment="1" applyBorder="1" applyFont="1">
      <alignment readingOrder="0" shrinkToFit="0" wrapText="1"/>
    </xf>
    <xf borderId="24" fillId="3" fontId="10" numFmtId="165" xfId="0" applyAlignment="1" applyBorder="1" applyFont="1" applyNumberFormat="1">
      <alignment readingOrder="0" shrinkToFit="0" wrapText="1"/>
    </xf>
    <xf borderId="24" fillId="3" fontId="10" numFmtId="0" xfId="0" applyAlignment="1" applyBorder="1" applyFont="1">
      <alignment readingOrder="0" shrinkToFit="0" wrapText="0"/>
    </xf>
    <xf borderId="126" fillId="3" fontId="10" numFmtId="0" xfId="0" applyAlignment="1" applyBorder="1" applyFont="1">
      <alignment shrinkToFit="0" wrapText="1"/>
    </xf>
    <xf borderId="23" fillId="7" fontId="10" numFmtId="0" xfId="0" applyAlignment="1" applyBorder="1" applyFont="1">
      <alignment readingOrder="0" shrinkToFit="0" wrapText="1"/>
    </xf>
    <xf borderId="24" fillId="7" fontId="10" numFmtId="165" xfId="0" applyAlignment="1" applyBorder="1" applyFont="1" applyNumberFormat="1">
      <alignment readingOrder="0" shrinkToFit="0" wrapText="1"/>
    </xf>
    <xf borderId="24" fillId="7" fontId="10" numFmtId="0" xfId="0" applyAlignment="1" applyBorder="1" applyFont="1">
      <alignment readingOrder="0" shrinkToFit="0" wrapText="0"/>
    </xf>
    <xf borderId="24" fillId="7" fontId="10" numFmtId="0" xfId="0" applyAlignment="1" applyBorder="1" applyFont="1">
      <alignment shrinkToFit="0" wrapText="0"/>
    </xf>
    <xf borderId="126" fillId="7" fontId="10" numFmtId="0" xfId="0" applyAlignment="1" applyBorder="1" applyFont="1">
      <alignment shrinkToFit="0" wrapText="1"/>
    </xf>
    <xf borderId="27" fillId="7" fontId="4" numFmtId="0" xfId="0" applyBorder="1" applyFont="1"/>
    <xf borderId="24" fillId="3" fontId="10" numFmtId="0" xfId="0" applyAlignment="1" applyBorder="1" applyFont="1">
      <alignment shrinkToFit="0" wrapText="0"/>
    </xf>
    <xf borderId="24" fillId="7" fontId="10" numFmtId="165" xfId="0" applyAlignment="1" applyBorder="1" applyFont="1" applyNumberFormat="1">
      <alignment shrinkToFit="0" wrapText="1"/>
    </xf>
    <xf borderId="126" fillId="7" fontId="10" numFmtId="0" xfId="0" applyAlignment="1" applyBorder="1" applyFont="1">
      <alignment readingOrder="0" shrinkToFit="0" wrapText="1"/>
    </xf>
    <xf borderId="24" fillId="3" fontId="10" numFmtId="165" xfId="0" applyAlignment="1" applyBorder="1" applyFont="1" applyNumberFormat="1">
      <alignment shrinkToFit="0" wrapText="1"/>
    </xf>
    <xf borderId="126" fillId="3" fontId="10" numFmtId="0" xfId="0" applyAlignment="1" applyBorder="1" applyFont="1">
      <alignment readingOrder="0" shrinkToFit="0" wrapText="1"/>
    </xf>
    <xf borderId="115" fillId="3" fontId="10" numFmtId="3" xfId="0" applyAlignment="1" applyBorder="1" applyFont="1" applyNumberFormat="1">
      <alignment horizontal="right" shrinkToFit="0" vertical="bottom" wrapText="1"/>
    </xf>
    <xf borderId="116" fillId="3" fontId="37" numFmtId="0" xfId="0" applyAlignment="1" applyBorder="1" applyFont="1">
      <alignment readingOrder="0" shrinkToFit="0" vertical="bottom" wrapText="1"/>
    </xf>
    <xf borderId="116" fillId="3" fontId="10" numFmtId="165" xfId="0" applyAlignment="1" applyBorder="1" applyFont="1" applyNumberFormat="1">
      <alignment horizontal="right" shrinkToFit="0" vertical="bottom" wrapText="1"/>
    </xf>
    <xf borderId="116" fillId="3" fontId="38" numFmtId="0" xfId="0" applyAlignment="1" applyBorder="1" applyFont="1">
      <alignment vertical="bottom"/>
    </xf>
    <xf borderId="0" fillId="3" fontId="31" numFmtId="0" xfId="0" applyAlignment="1" applyFont="1">
      <alignment readingOrder="0" shrinkToFit="0" vertical="bottom" wrapText="1"/>
    </xf>
    <xf borderId="23" fillId="7" fontId="10" numFmtId="0" xfId="0" applyAlignment="1" applyBorder="1" applyFont="1">
      <alignment readingOrder="0" shrinkToFit="0" wrapText="1"/>
    </xf>
    <xf borderId="24" fillId="7" fontId="10" numFmtId="0" xfId="0" applyAlignment="1" applyBorder="1" applyFont="1">
      <alignment readingOrder="0" shrinkToFit="0" wrapText="1"/>
    </xf>
    <xf borderId="24" fillId="7" fontId="10" numFmtId="0" xfId="0" applyAlignment="1" applyBorder="1" applyFont="1">
      <alignment readingOrder="0" shrinkToFit="0" wrapText="0"/>
    </xf>
    <xf borderId="23" fillId="3" fontId="10" numFmtId="0" xfId="0" applyAlignment="1" applyBorder="1" applyFont="1">
      <alignment shrinkToFit="0" wrapText="1"/>
    </xf>
    <xf borderId="23" fillId="7" fontId="10" numFmtId="0" xfId="0" applyAlignment="1" applyBorder="1" applyFont="1">
      <alignment shrinkToFit="0" wrapText="1"/>
    </xf>
    <xf borderId="36" fillId="7" fontId="10" numFmtId="0" xfId="0" applyAlignment="1" applyBorder="1" applyFont="1">
      <alignment shrinkToFit="0" wrapText="1"/>
    </xf>
    <xf borderId="37" fillId="7" fontId="10" numFmtId="165" xfId="0" applyAlignment="1" applyBorder="1" applyFont="1" applyNumberFormat="1">
      <alignment shrinkToFit="0" wrapText="1"/>
    </xf>
    <xf borderId="37" fillId="7" fontId="10" numFmtId="165" xfId="0" applyAlignment="1" applyBorder="1" applyFont="1" applyNumberFormat="1">
      <alignment readingOrder="0" shrinkToFit="0" wrapText="1"/>
    </xf>
    <xf borderId="37" fillId="7" fontId="10" numFmtId="0" xfId="0" applyAlignment="1" applyBorder="1" applyFont="1">
      <alignment readingOrder="0" shrinkToFit="0" wrapText="0"/>
    </xf>
    <xf borderId="37" fillId="7" fontId="10" numFmtId="0" xfId="0" applyAlignment="1" applyBorder="1" applyFont="1">
      <alignment shrinkToFit="0" wrapText="0"/>
    </xf>
    <xf borderId="127" fillId="7" fontId="10" numFmtId="0" xfId="0" applyAlignment="1" applyBorder="1" applyFont="1">
      <alignment shrinkToFit="0" wrapText="1"/>
    </xf>
    <xf borderId="4" fillId="7" fontId="4" numFmtId="0" xfId="0" applyBorder="1" applyFont="1"/>
    <xf borderId="111" fillId="7" fontId="4" numFmtId="0" xfId="0" applyBorder="1" applyFont="1"/>
    <xf borderId="0" fillId="0" fontId="51" numFmtId="0" xfId="0" applyAlignment="1" applyFont="1">
      <alignment readingOrder="0"/>
    </xf>
    <xf borderId="0" fillId="3" fontId="52" numFmtId="0" xfId="0" applyAlignment="1" applyFont="1">
      <alignment readingOrder="0"/>
    </xf>
    <xf borderId="0" fillId="3" fontId="30" numFmtId="0" xfId="0" applyAlignment="1" applyFont="1">
      <alignment shrinkToFit="0" wrapText="1"/>
    </xf>
    <xf borderId="8" fillId="17" fontId="3" numFmtId="0" xfId="0" applyAlignment="1" applyBorder="1" applyFont="1">
      <alignment readingOrder="0" shrinkToFit="0" wrapText="1"/>
    </xf>
    <xf borderId="128" fillId="17" fontId="4" numFmtId="0" xfId="0" applyBorder="1" applyFont="1"/>
    <xf borderId="129" fillId="17" fontId="44" numFmtId="0" xfId="0" applyAlignment="1" applyBorder="1" applyFont="1">
      <alignment readingOrder="0" shrinkToFit="0" wrapText="1"/>
    </xf>
    <xf borderId="0" fillId="0" fontId="3" numFmtId="0" xfId="0" applyAlignment="1" applyFont="1">
      <alignment horizontal="center" readingOrder="0" shrinkToFit="0" wrapText="1"/>
    </xf>
    <xf borderId="130" fillId="0" fontId="3" numFmtId="0" xfId="0" applyAlignment="1" applyBorder="1" applyFont="1">
      <alignment readingOrder="0" shrinkToFit="0" wrapText="1"/>
    </xf>
    <xf borderId="129" fillId="0" fontId="44" numFmtId="0" xfId="0" applyAlignment="1" applyBorder="1" applyFont="1">
      <alignment readingOrder="0" shrinkToFit="0" wrapText="1"/>
    </xf>
    <xf borderId="131" fillId="3" fontId="31" numFmtId="166" xfId="0" applyAlignment="1" applyBorder="1" applyFont="1" applyNumberFormat="1">
      <alignment readingOrder="0" shrinkToFit="0" wrapText="1"/>
    </xf>
    <xf borderId="132" fillId="0" fontId="31" numFmtId="0" xfId="0" applyAlignment="1" applyBorder="1" applyFont="1">
      <alignment readingOrder="0" shrinkToFit="0" wrapText="1"/>
    </xf>
    <xf borderId="58" fillId="0" fontId="31" numFmtId="3" xfId="0" applyAlignment="1" applyBorder="1" applyFont="1" applyNumberFormat="1">
      <alignment readingOrder="0" shrinkToFit="0" wrapText="1"/>
    </xf>
    <xf borderId="0" fillId="0" fontId="14" numFmtId="0" xfId="0" applyFont="1"/>
    <xf borderId="107" fillId="11" fontId="28" numFmtId="0" xfId="0" applyAlignment="1" applyBorder="1" applyFont="1">
      <alignment readingOrder="0" shrinkToFit="0" wrapText="1"/>
    </xf>
    <xf borderId="112" fillId="11" fontId="4" numFmtId="0" xfId="0" applyBorder="1" applyFont="1"/>
    <xf borderId="131" fillId="11" fontId="31" numFmtId="166" xfId="0" applyAlignment="1" applyBorder="1" applyFont="1" applyNumberFormat="1">
      <alignment readingOrder="0" shrinkToFit="0" wrapText="1"/>
    </xf>
    <xf borderId="132" fillId="0" fontId="31" numFmtId="0" xfId="0" applyAlignment="1" applyBorder="1" applyFont="1">
      <alignment readingOrder="0" shrinkToFit="0" wrapText="0"/>
    </xf>
    <xf borderId="131" fillId="0" fontId="31" numFmtId="3" xfId="0" applyAlignment="1" applyBorder="1" applyFont="1" applyNumberFormat="1">
      <alignment readingOrder="0" shrinkToFit="0" wrapText="1"/>
    </xf>
    <xf borderId="133" fillId="0" fontId="35" numFmtId="0" xfId="0" applyAlignment="1" applyBorder="1" applyFont="1">
      <alignment readingOrder="0" shrinkToFit="0" wrapText="1"/>
    </xf>
    <xf borderId="134" fillId="0" fontId="35" numFmtId="0" xfId="0" applyAlignment="1" applyBorder="1" applyFont="1">
      <alignment readingOrder="0" shrinkToFit="0" wrapText="1"/>
    </xf>
    <xf borderId="135" fillId="3" fontId="4" numFmtId="0" xfId="0" applyBorder="1" applyFont="1"/>
    <xf borderId="134" fillId="3" fontId="35" numFmtId="165" xfId="0" applyAlignment="1" applyBorder="1" applyFont="1" applyNumberFormat="1">
      <alignment readingOrder="0" shrinkToFit="0" wrapText="1"/>
    </xf>
    <xf borderId="122" fillId="0" fontId="3" numFmtId="0" xfId="0" applyAlignment="1" applyBorder="1" applyFont="1">
      <alignment horizontal="left" readingOrder="0" shrinkToFit="0" wrapText="1"/>
    </xf>
    <xf borderId="134" fillId="3" fontId="35" numFmtId="165" xfId="0" applyAlignment="1" applyBorder="1" applyFont="1" applyNumberFormat="1">
      <alignment readingOrder="0" shrinkToFit="0" wrapText="1"/>
    </xf>
    <xf borderId="130" fillId="0" fontId="3" numFmtId="0" xfId="0" applyAlignment="1" applyBorder="1" applyFont="1">
      <alignment readingOrder="0" shrinkToFit="0" wrapText="0"/>
    </xf>
    <xf borderId="136" fillId="0" fontId="53" numFmtId="0" xfId="0" applyAlignment="1" applyBorder="1" applyFont="1">
      <alignment readingOrder="0" shrinkToFit="0" wrapText="1"/>
    </xf>
    <xf borderId="136" fillId="0" fontId="3" numFmtId="0" xfId="0" applyAlignment="1" applyBorder="1" applyFont="1">
      <alignment readingOrder="0" shrinkToFit="0" wrapText="1"/>
    </xf>
    <xf borderId="136" fillId="0" fontId="2" numFmtId="0" xfId="0" applyAlignment="1" applyBorder="1" applyFont="1">
      <alignment readingOrder="0" shrinkToFit="0" wrapText="1"/>
    </xf>
    <xf borderId="136" fillId="0" fontId="4" numFmtId="0" xfId="0" applyAlignment="1" applyBorder="1" applyFont="1">
      <alignment shrinkToFit="0" wrapText="1"/>
    </xf>
    <xf borderId="136" fillId="0" fontId="2" numFmtId="0" xfId="0" applyAlignment="1" applyBorder="1" applyFont="1">
      <alignment shrinkToFit="0" wrapText="1"/>
    </xf>
    <xf borderId="136" fillId="0" fontId="54" numFmtId="0" xfId="0" applyAlignment="1" applyBorder="1" applyFont="1">
      <alignment horizontal="right" readingOrder="0" shrinkToFit="0" wrapText="1"/>
    </xf>
    <xf borderId="129" fillId="0" fontId="55" numFmtId="0" xfId="0" applyAlignment="1" applyBorder="1" applyFont="1">
      <alignment shrinkToFit="0" wrapText="1"/>
    </xf>
    <xf borderId="137" fillId="0" fontId="9" numFmtId="0" xfId="0" applyAlignment="1" applyBorder="1" applyFont="1">
      <alignment readingOrder="0" shrinkToFit="0" wrapText="1"/>
    </xf>
    <xf borderId="138" fillId="0" fontId="13" numFmtId="0" xfId="0" applyAlignment="1" applyBorder="1" applyFont="1">
      <alignment readingOrder="0" shrinkToFit="0" wrapText="1"/>
    </xf>
    <xf borderId="139" fillId="0" fontId="13" numFmtId="0" xfId="0" applyAlignment="1" applyBorder="1" applyFont="1">
      <alignment readingOrder="0" shrinkToFit="0" wrapText="1"/>
    </xf>
    <xf borderId="132" fillId="0" fontId="28" numFmtId="3" xfId="0" applyAlignment="1" applyBorder="1" applyFont="1" applyNumberFormat="1">
      <alignment readingOrder="0" shrinkToFit="0" wrapText="1"/>
    </xf>
    <xf borderId="140" fillId="0" fontId="11" numFmtId="0" xfId="0" applyAlignment="1" applyBorder="1" applyFont="1">
      <alignment readingOrder="0" shrinkToFit="0" wrapText="1"/>
    </xf>
    <xf borderId="140" fillId="0" fontId="10" numFmtId="3" xfId="0" applyAlignment="1" applyBorder="1" applyFont="1" applyNumberFormat="1">
      <alignment readingOrder="0" shrinkToFit="0" wrapText="1"/>
    </xf>
    <xf borderId="140" fillId="0" fontId="10" numFmtId="0" xfId="0" applyAlignment="1" applyBorder="1" applyFont="1">
      <alignment readingOrder="0" shrinkToFit="0" wrapText="1"/>
    </xf>
    <xf borderId="140" fillId="0" fontId="28" numFmtId="0" xfId="0" applyAlignment="1" applyBorder="1" applyFont="1">
      <alignment shrinkToFit="0" wrapText="1"/>
    </xf>
    <xf borderId="140" fillId="0" fontId="10" numFmtId="0" xfId="0" applyAlignment="1" applyBorder="1" applyFont="1">
      <alignment shrinkToFit="0" wrapText="1"/>
    </xf>
    <xf borderId="131" fillId="0" fontId="10" numFmtId="0" xfId="0" applyAlignment="1" applyBorder="1" applyFont="1">
      <alignment shrinkToFit="0" wrapText="1"/>
    </xf>
    <xf borderId="131" fillId="0" fontId="10" numFmtId="0" xfId="0" applyAlignment="1" applyBorder="1" applyFont="1">
      <alignment readingOrder="0" shrinkToFit="0" wrapText="1"/>
    </xf>
    <xf borderId="133" fillId="0" fontId="28" numFmtId="3" xfId="0" applyAlignment="1" applyBorder="1" applyFont="1" applyNumberFormat="1">
      <alignment readingOrder="0" shrinkToFit="0" wrapText="1"/>
    </xf>
    <xf borderId="141" fillId="0" fontId="11" numFmtId="0" xfId="0" applyAlignment="1" applyBorder="1" applyFont="1">
      <alignment readingOrder="0" shrinkToFit="0" wrapText="1"/>
    </xf>
    <xf borderId="141" fillId="0" fontId="10" numFmtId="0" xfId="0" applyAlignment="1" applyBorder="1" applyFont="1">
      <alignment readingOrder="0" shrinkToFit="0" wrapText="1"/>
    </xf>
    <xf borderId="141" fillId="0" fontId="10" numFmtId="0" xfId="0" applyAlignment="1" applyBorder="1" applyFont="1">
      <alignment shrinkToFit="0" wrapText="1"/>
    </xf>
    <xf borderId="134" fillId="0" fontId="10" numFmtId="0" xfId="0" applyAlignment="1" applyBorder="1" applyFont="1">
      <alignment shrinkToFit="0" wrapText="1"/>
    </xf>
    <xf borderId="0" fillId="3" fontId="14" numFmtId="0" xfId="0" applyFont="1"/>
    <xf borderId="129" fillId="0" fontId="2" numFmtId="0" xfId="0" applyAlignment="1" applyBorder="1" applyFont="1">
      <alignment shrinkToFit="0" wrapText="1"/>
    </xf>
    <xf borderId="140" fillId="0" fontId="10" numFmtId="3" xfId="0" applyAlignment="1" applyBorder="1" applyFont="1" applyNumberFormat="1">
      <alignment shrinkToFit="0" wrapText="1"/>
    </xf>
    <xf borderId="134" fillId="0" fontId="10" numFmtId="3" xfId="0" applyAlignment="1" applyBorder="1" applyFont="1" applyNumberFormat="1">
      <alignment shrinkToFit="0" wrapText="1"/>
    </xf>
    <xf borderId="130" fillId="17" fontId="33" numFmtId="0" xfId="0" applyAlignment="1" applyBorder="1" applyFont="1">
      <alignment readingOrder="0" shrinkToFit="0" wrapText="1"/>
    </xf>
    <xf borderId="136" fillId="17" fontId="33" numFmtId="0" xfId="0" applyAlignment="1" applyBorder="1" applyFont="1">
      <alignment readingOrder="0" shrinkToFit="0" wrapText="1"/>
    </xf>
    <xf borderId="136" fillId="17" fontId="33" numFmtId="0" xfId="0" applyAlignment="1" applyBorder="1" applyFont="1">
      <alignment horizontal="left" readingOrder="0" shrinkToFit="0" wrapText="1"/>
    </xf>
    <xf borderId="142" fillId="17" fontId="33" numFmtId="0" xfId="0" applyAlignment="1" applyBorder="1" applyFont="1">
      <alignment readingOrder="0" shrinkToFit="0" wrapText="1"/>
    </xf>
    <xf borderId="0" fillId="0" fontId="6" numFmtId="0" xfId="0" applyAlignment="1" applyFont="1">
      <alignment readingOrder="0"/>
    </xf>
    <xf borderId="0" fillId="3" fontId="30" numFmtId="0" xfId="0" applyFont="1"/>
    <xf borderId="132" fillId="3" fontId="10" numFmtId="3" xfId="0" applyAlignment="1" applyBorder="1" applyFont="1" applyNumberFormat="1">
      <alignment readingOrder="0" shrinkToFit="0" vertical="center" wrapText="1"/>
    </xf>
    <xf borderId="140" fillId="3" fontId="10" numFmtId="0" xfId="0" applyAlignment="1" applyBorder="1" applyFont="1">
      <alignment readingOrder="0" shrinkToFit="0" vertical="center" wrapText="1"/>
    </xf>
    <xf borderId="140" fillId="3" fontId="10" numFmtId="165" xfId="0" applyAlignment="1" applyBorder="1" applyFont="1" applyNumberFormat="1">
      <alignment readingOrder="0" shrinkToFit="0" vertical="center" wrapText="1"/>
    </xf>
    <xf borderId="140" fillId="3" fontId="10" numFmtId="0" xfId="0" applyAlignment="1" applyBorder="1" applyFont="1">
      <alignment shrinkToFit="0" vertical="center" wrapText="1"/>
    </xf>
    <xf borderId="140" fillId="3" fontId="10" numFmtId="0" xfId="0" applyAlignment="1" applyBorder="1" applyFont="1">
      <alignment readingOrder="0" shrinkToFit="0" vertical="center" wrapText="0"/>
    </xf>
    <xf borderId="140" fillId="3" fontId="10" numFmtId="0" xfId="0" applyAlignment="1" applyBorder="1" applyFont="1">
      <alignment shrinkToFit="0" vertical="center" wrapText="0"/>
    </xf>
    <xf borderId="143" fillId="3" fontId="10" numFmtId="0" xfId="0" applyAlignment="1" applyBorder="1" applyFont="1">
      <alignment shrinkToFit="0" vertical="center" wrapText="1"/>
    </xf>
    <xf borderId="132" fillId="11" fontId="10" numFmtId="3" xfId="0" applyAlignment="1" applyBorder="1" applyFont="1" applyNumberFormat="1">
      <alignment readingOrder="0" shrinkToFit="0" vertical="center" wrapText="1"/>
    </xf>
    <xf borderId="140" fillId="11" fontId="10" numFmtId="0" xfId="0" applyAlignment="1" applyBorder="1" applyFont="1">
      <alignment readingOrder="0" shrinkToFit="0" vertical="center" wrapText="1"/>
    </xf>
    <xf borderId="140" fillId="11" fontId="10" numFmtId="165" xfId="0" applyAlignment="1" applyBorder="1" applyFont="1" applyNumberFormat="1">
      <alignment readingOrder="0" shrinkToFit="0" vertical="center" wrapText="1"/>
    </xf>
    <xf borderId="140" fillId="11" fontId="10" numFmtId="0" xfId="0" applyAlignment="1" applyBorder="1" applyFont="1">
      <alignment shrinkToFit="0" vertical="center" wrapText="1"/>
    </xf>
    <xf borderId="140" fillId="11" fontId="10" numFmtId="0" xfId="0" applyAlignment="1" applyBorder="1" applyFont="1">
      <alignment readingOrder="0" shrinkToFit="0" vertical="center" wrapText="0"/>
    </xf>
    <xf borderId="140" fillId="11" fontId="10" numFmtId="0" xfId="0" applyAlignment="1" applyBorder="1" applyFont="1">
      <alignment shrinkToFit="0" vertical="center" wrapText="0"/>
    </xf>
    <xf borderId="143" fillId="11" fontId="10" numFmtId="0" xfId="0" applyAlignment="1" applyBorder="1" applyFont="1">
      <alignment shrinkToFit="0" vertical="center" wrapText="1"/>
    </xf>
    <xf borderId="27" fillId="11" fontId="4" numFmtId="0" xfId="0" applyBorder="1" applyFont="1"/>
    <xf borderId="132" fillId="3" fontId="10" numFmtId="3" xfId="0" applyAlignment="1" applyBorder="1" applyFont="1" applyNumberFormat="1">
      <alignment horizontal="right" shrinkToFit="0" vertical="center" wrapText="1"/>
    </xf>
    <xf borderId="112" fillId="3" fontId="36" numFmtId="49" xfId="0" applyAlignment="1" applyBorder="1" applyFont="1" applyNumberFormat="1">
      <alignment readingOrder="0" shrinkToFit="0" vertical="center" wrapText="1"/>
    </xf>
    <xf borderId="112" fillId="3" fontId="10" numFmtId="165" xfId="0" applyAlignment="1" applyBorder="1" applyFont="1" applyNumberFormat="1">
      <alignment horizontal="right" shrinkToFit="0" vertical="center" wrapText="1"/>
    </xf>
    <xf borderId="112" fillId="3" fontId="38" numFmtId="0" xfId="0" applyAlignment="1" applyBorder="1" applyFont="1">
      <alignment vertical="center"/>
    </xf>
    <xf borderId="112" fillId="3" fontId="10" numFmtId="0" xfId="0" applyAlignment="1" applyBorder="1" applyFont="1">
      <alignment shrinkToFit="0" vertical="center" wrapText="0"/>
    </xf>
    <xf borderId="143" fillId="3" fontId="10" numFmtId="0" xfId="0" applyAlignment="1" applyBorder="1" applyFont="1">
      <alignment readingOrder="0" shrinkToFit="0" vertical="center" wrapText="1"/>
    </xf>
    <xf borderId="132" fillId="11" fontId="10" numFmtId="3" xfId="0" applyAlignment="1" applyBorder="1" applyFont="1" applyNumberFormat="1">
      <alignment horizontal="right" shrinkToFit="0" vertical="center" wrapText="1"/>
    </xf>
    <xf borderId="112" fillId="11" fontId="10" numFmtId="49" xfId="0" applyAlignment="1" applyBorder="1" applyFont="1" applyNumberFormat="1">
      <alignment shrinkToFit="0" vertical="center" wrapText="1"/>
    </xf>
    <xf borderId="112" fillId="11" fontId="10" numFmtId="165" xfId="0" applyAlignment="1" applyBorder="1" applyFont="1" applyNumberFormat="1">
      <alignment horizontal="right" shrinkToFit="0" vertical="center" wrapText="1"/>
    </xf>
    <xf borderId="112" fillId="11" fontId="38" numFmtId="0" xfId="0" applyAlignment="1" applyBorder="1" applyFont="1">
      <alignment vertical="center"/>
    </xf>
    <xf borderId="112" fillId="11" fontId="10" numFmtId="0" xfId="0" applyAlignment="1" applyBorder="1" applyFont="1">
      <alignment shrinkToFit="0" vertical="center" wrapText="0"/>
    </xf>
    <xf borderId="132" fillId="3" fontId="10" numFmtId="3" xfId="0" applyAlignment="1" applyBorder="1" applyFont="1" applyNumberFormat="1">
      <alignment horizontal="right" readingOrder="0" shrinkToFit="0" vertical="center" wrapText="1"/>
    </xf>
    <xf borderId="112" fillId="3" fontId="10" numFmtId="49" xfId="0" applyAlignment="1" applyBorder="1" applyFont="1" applyNumberFormat="1">
      <alignment shrinkToFit="0" vertical="center" wrapText="1"/>
    </xf>
    <xf borderId="112" fillId="3" fontId="10" numFmtId="49" xfId="0" applyAlignment="1" applyBorder="1" applyFont="1" applyNumberFormat="1">
      <alignment readingOrder="0" shrinkToFit="0" vertical="center" wrapText="1"/>
    </xf>
    <xf borderId="112" fillId="11" fontId="10" numFmtId="0" xfId="0" applyAlignment="1" applyBorder="1" applyFont="1">
      <alignment readingOrder="0" shrinkToFit="0" vertical="center" wrapText="0"/>
    </xf>
    <xf borderId="112" fillId="3" fontId="10" numFmtId="0" xfId="0" applyAlignment="1" applyBorder="1" applyFont="1">
      <alignment readingOrder="0" shrinkToFit="0" vertical="center" wrapText="0"/>
    </xf>
    <xf borderId="112" fillId="11" fontId="10" numFmtId="49" xfId="0" applyAlignment="1" applyBorder="1" applyFont="1" applyNumberFormat="1">
      <alignment readingOrder="0" shrinkToFit="0" vertical="center" wrapText="1"/>
    </xf>
    <xf borderId="112" fillId="3" fontId="38" numFmtId="0" xfId="0" applyAlignment="1" applyBorder="1" applyFont="1">
      <alignment readingOrder="0" vertical="center"/>
    </xf>
    <xf borderId="112" fillId="11" fontId="10" numFmtId="0" xfId="0" applyAlignment="1" applyBorder="1" applyFont="1">
      <alignment shrinkToFit="0" vertical="center" wrapText="1"/>
    </xf>
    <xf borderId="0" fillId="11" fontId="10" numFmtId="0" xfId="0" applyAlignment="1" applyFont="1">
      <alignment shrinkToFit="0" vertical="center" wrapText="1"/>
    </xf>
    <xf borderId="112" fillId="3" fontId="36" numFmtId="49" xfId="0" applyAlignment="1" applyBorder="1" applyFont="1" applyNumberFormat="1">
      <alignment readingOrder="0" shrinkToFit="0" vertical="center" wrapText="1"/>
    </xf>
    <xf borderId="0" fillId="3" fontId="56" numFmtId="0" xfId="0" applyAlignment="1" applyFont="1">
      <alignment readingOrder="0" shrinkToFit="0" vertical="center" wrapText="1"/>
    </xf>
    <xf borderId="112" fillId="11" fontId="36" numFmtId="49" xfId="0" applyAlignment="1" applyBorder="1" applyFont="1" applyNumberFormat="1">
      <alignment shrinkToFit="0" vertical="center" wrapText="1"/>
    </xf>
    <xf borderId="143" fillId="11" fontId="10" numFmtId="0" xfId="0" applyAlignment="1" applyBorder="1" applyFont="1">
      <alignment readingOrder="0" shrinkToFit="0" vertical="center" wrapText="1"/>
    </xf>
    <xf borderId="0" fillId="3" fontId="10" numFmtId="0" xfId="0" applyAlignment="1" applyFont="1">
      <alignment readingOrder="0" shrinkToFit="0" vertical="center" wrapText="1"/>
    </xf>
    <xf borderId="132" fillId="11" fontId="10" numFmtId="3" xfId="0" applyAlignment="1" applyBorder="1" applyFont="1" applyNumberFormat="1">
      <alignment horizontal="right" readingOrder="0" shrinkToFit="0" vertical="center" wrapText="1"/>
    </xf>
    <xf borderId="112" fillId="11" fontId="36" numFmtId="49" xfId="0" applyAlignment="1" applyBorder="1" applyFont="1" applyNumberFormat="1">
      <alignment readingOrder="0" shrinkToFit="0" vertical="center" wrapText="1"/>
    </xf>
    <xf borderId="112" fillId="11" fontId="38" numFmtId="0" xfId="0" applyAlignment="1" applyBorder="1" applyFont="1">
      <alignment readingOrder="0" vertical="center"/>
    </xf>
    <xf borderId="0" fillId="11" fontId="10" numFmtId="0" xfId="0" applyAlignment="1" applyFont="1">
      <alignment readingOrder="0" shrinkToFit="0" vertical="center" wrapText="1"/>
    </xf>
    <xf borderId="112" fillId="3" fontId="10" numFmtId="165" xfId="0" applyAlignment="1" applyBorder="1" applyFont="1" applyNumberFormat="1">
      <alignment horizontal="right" readingOrder="0" shrinkToFit="0" vertical="center" wrapText="1"/>
    </xf>
    <xf borderId="140" fillId="3" fontId="36" numFmtId="0" xfId="0" applyAlignment="1" applyBorder="1" applyFont="1">
      <alignment readingOrder="0" shrinkToFit="0" vertical="center" wrapText="1"/>
    </xf>
    <xf borderId="140" fillId="11" fontId="36" numFmtId="0" xfId="0" applyAlignment="1" applyBorder="1" applyFont="1">
      <alignment readingOrder="0" shrinkToFit="0" vertical="center" wrapText="1"/>
    </xf>
    <xf borderId="140" fillId="11" fontId="57" numFmtId="0" xfId="0" applyAlignment="1" applyBorder="1" applyFont="1">
      <alignment readingOrder="0" shrinkToFit="0" vertical="center" wrapText="1"/>
    </xf>
    <xf borderId="140" fillId="3" fontId="39" numFmtId="0" xfId="0" applyAlignment="1" applyBorder="1" applyFont="1">
      <alignment readingOrder="0" shrinkToFit="0" vertical="center" wrapText="1"/>
    </xf>
    <xf borderId="140" fillId="3" fontId="10" numFmtId="165" xfId="0" applyAlignment="1" applyBorder="1" applyFont="1" applyNumberFormat="1">
      <alignment shrinkToFit="0" vertical="center" wrapText="1"/>
    </xf>
    <xf borderId="140" fillId="3" fontId="10" numFmtId="0" xfId="0" applyAlignment="1" applyBorder="1" applyFont="1">
      <alignment shrinkToFit="0" vertical="center" wrapText="1"/>
    </xf>
    <xf borderId="0" fillId="3" fontId="10" numFmtId="0" xfId="0" applyAlignment="1" applyFont="1">
      <alignment readingOrder="0" shrinkToFit="0" wrapText="1"/>
    </xf>
    <xf borderId="27" fillId="3" fontId="10" numFmtId="0" xfId="0" applyAlignment="1" applyBorder="1" applyFont="1">
      <alignment readingOrder="0" shrinkToFit="0" wrapText="1"/>
    </xf>
    <xf borderId="140" fillId="11" fontId="10" numFmtId="165" xfId="0" applyAlignment="1" applyBorder="1" applyFont="1" applyNumberFormat="1">
      <alignment shrinkToFit="0" vertical="center" wrapText="1"/>
    </xf>
    <xf borderId="132" fillId="11" fontId="10" numFmtId="3" xfId="0" applyAlignment="1" applyBorder="1" applyFont="1" applyNumberFormat="1">
      <alignment shrinkToFit="0" vertical="center" wrapText="1"/>
    </xf>
    <xf borderId="132" fillId="3" fontId="10" numFmtId="3" xfId="0" applyAlignment="1" applyBorder="1" applyFont="1" applyNumberFormat="1">
      <alignment shrinkToFit="0" vertical="center" wrapText="1"/>
    </xf>
    <xf borderId="133" fillId="11" fontId="10" numFmtId="3" xfId="0" applyAlignment="1" applyBorder="1" applyFont="1" applyNumberFormat="1">
      <alignment shrinkToFit="0" vertical="center" wrapText="1"/>
    </xf>
    <xf borderId="141" fillId="11" fontId="10" numFmtId="0" xfId="0" applyAlignment="1" applyBorder="1" applyFont="1">
      <alignment shrinkToFit="0" vertical="center" wrapText="1"/>
    </xf>
    <xf borderId="141" fillId="11" fontId="10" numFmtId="165" xfId="0" applyAlignment="1" applyBorder="1" applyFont="1" applyNumberFormat="1">
      <alignment shrinkToFit="0" vertical="center" wrapText="1"/>
    </xf>
    <xf borderId="141" fillId="11" fontId="10" numFmtId="165" xfId="0" applyAlignment="1" applyBorder="1" applyFont="1" applyNumberFormat="1">
      <alignment readingOrder="0" shrinkToFit="0" vertical="center" wrapText="1"/>
    </xf>
    <xf borderId="141" fillId="11" fontId="10" numFmtId="0" xfId="0" applyAlignment="1" applyBorder="1" applyFont="1">
      <alignment readingOrder="0" shrinkToFit="0" vertical="center" wrapText="0"/>
    </xf>
    <xf borderId="141" fillId="11" fontId="10" numFmtId="0" xfId="0" applyAlignment="1" applyBorder="1" applyFont="1">
      <alignment shrinkToFit="0" vertical="center" wrapText="0"/>
    </xf>
    <xf borderId="144" fillId="11" fontId="10" numFmtId="0" xfId="0" applyAlignment="1" applyBorder="1" applyFont="1">
      <alignment shrinkToFit="0" vertical="center" wrapText="1"/>
    </xf>
    <xf borderId="4" fillId="11" fontId="4" numFmtId="0" xfId="0" applyBorder="1" applyFont="1"/>
    <xf borderId="111" fillId="11" fontId="4" numFmtId="0" xfId="0" applyBorder="1" applyFont="1"/>
    <xf borderId="0" fillId="0" fontId="6" numFmtId="0" xfId="0" applyAlignment="1" applyFont="1">
      <alignment readingOrder="0" shrinkToFit="0" wrapText="1"/>
    </xf>
    <xf borderId="8" fillId="5" fontId="3" numFmtId="0" xfId="0" applyAlignment="1" applyBorder="1" applyFont="1">
      <alignment readingOrder="0" shrinkToFit="0" wrapText="1"/>
    </xf>
    <xf borderId="145" fillId="5" fontId="4" numFmtId="0" xfId="0" applyBorder="1" applyFont="1"/>
    <xf borderId="146" fillId="5" fontId="44" numFmtId="0" xfId="0" applyAlignment="1" applyBorder="1" applyFont="1">
      <alignment readingOrder="0" shrinkToFit="0" wrapText="1"/>
    </xf>
    <xf borderId="147" fillId="0" fontId="3" numFmtId="0" xfId="0" applyAlignment="1" applyBorder="1" applyFont="1">
      <alignment readingOrder="0" shrinkToFit="0" wrapText="1"/>
    </xf>
    <xf borderId="146" fillId="0" fontId="44" numFmtId="0" xfId="0" applyAlignment="1" applyBorder="1" applyFont="1">
      <alignment readingOrder="0" shrinkToFit="0" wrapText="1"/>
    </xf>
    <xf borderId="30" fillId="3" fontId="31" numFmtId="166" xfId="0" applyAlignment="1" applyBorder="1" applyFont="1" applyNumberFormat="1">
      <alignment readingOrder="0" shrinkToFit="0" wrapText="1"/>
    </xf>
    <xf borderId="26" fillId="0" fontId="31" numFmtId="0" xfId="0" applyAlignment="1" applyBorder="1" applyFont="1">
      <alignment readingOrder="0" shrinkToFit="0" wrapText="1"/>
    </xf>
    <xf borderId="30" fillId="0" fontId="31" numFmtId="3" xfId="0" applyAlignment="1" applyBorder="1" applyFont="1" applyNumberFormat="1">
      <alignment readingOrder="0" shrinkToFit="0" wrapText="1"/>
    </xf>
    <xf borderId="107" fillId="8" fontId="28" numFmtId="0" xfId="0" applyAlignment="1" applyBorder="1" applyFont="1">
      <alignment readingOrder="0" shrinkToFit="0" wrapText="1"/>
    </xf>
    <xf borderId="112" fillId="8" fontId="4" numFmtId="0" xfId="0" applyBorder="1" applyFont="1"/>
    <xf borderId="30" fillId="8" fontId="31" numFmtId="166" xfId="0" applyAlignment="1" applyBorder="1" applyFont="1" applyNumberFormat="1">
      <alignment readingOrder="0" shrinkToFit="0" wrapText="1"/>
    </xf>
    <xf borderId="26" fillId="0" fontId="31" numFmtId="0" xfId="0" applyAlignment="1" applyBorder="1" applyFont="1">
      <alignment readingOrder="0" shrinkToFit="0" wrapText="0"/>
    </xf>
    <xf borderId="39" fillId="0" fontId="35" numFmtId="0" xfId="0" applyAlignment="1" applyBorder="1" applyFont="1">
      <alignment readingOrder="0" shrinkToFit="0" wrapText="1"/>
    </xf>
    <xf borderId="41" fillId="0" fontId="35" numFmtId="0" xfId="0" applyAlignment="1" applyBorder="1" applyFont="1">
      <alignment readingOrder="0" shrinkToFit="0" wrapText="1"/>
    </xf>
    <xf borderId="148" fillId="3" fontId="4" numFmtId="0" xfId="0" applyBorder="1" applyFont="1"/>
    <xf borderId="41" fillId="3" fontId="35" numFmtId="165" xfId="0" applyAlignment="1" applyBorder="1" applyFont="1" applyNumberFormat="1">
      <alignment readingOrder="0" shrinkToFit="0" wrapText="1"/>
    </xf>
    <xf borderId="122" fillId="5" fontId="3" numFmtId="0" xfId="0" applyAlignment="1" applyBorder="1" applyFont="1">
      <alignment horizontal="left" readingOrder="0" shrinkToFit="0" wrapText="1"/>
    </xf>
    <xf borderId="41" fillId="3" fontId="35" numFmtId="165" xfId="0" applyAlignment="1" applyBorder="1" applyFont="1" applyNumberFormat="1">
      <alignment readingOrder="0" shrinkToFit="0" wrapText="1"/>
    </xf>
    <xf borderId="147" fillId="0" fontId="3" numFmtId="0" xfId="0" applyAlignment="1" applyBorder="1" applyFont="1">
      <alignment readingOrder="0" shrinkToFit="0" wrapText="0"/>
    </xf>
    <xf borderId="149" fillId="0" fontId="58" numFmtId="0" xfId="0" applyAlignment="1" applyBorder="1" applyFont="1">
      <alignment readingOrder="0" shrinkToFit="0" wrapText="1"/>
    </xf>
    <xf borderId="149" fillId="0" fontId="3" numFmtId="0" xfId="0" applyAlignment="1" applyBorder="1" applyFont="1">
      <alignment readingOrder="0" shrinkToFit="0" wrapText="1"/>
    </xf>
    <xf borderId="149" fillId="0" fontId="2" numFmtId="0" xfId="0" applyAlignment="1" applyBorder="1" applyFont="1">
      <alignment readingOrder="0" shrinkToFit="0" wrapText="1"/>
    </xf>
    <xf borderId="149" fillId="0" fontId="4" numFmtId="0" xfId="0" applyAlignment="1" applyBorder="1" applyFont="1">
      <alignment shrinkToFit="0" wrapText="1"/>
    </xf>
    <xf borderId="149" fillId="0" fontId="2" numFmtId="0" xfId="0" applyAlignment="1" applyBorder="1" applyFont="1">
      <alignment shrinkToFit="0" wrapText="1"/>
    </xf>
    <xf borderId="146" fillId="0" fontId="2" numFmtId="0" xfId="0" applyAlignment="1" applyBorder="1" applyFont="1">
      <alignment shrinkToFit="0" wrapText="1"/>
    </xf>
    <xf borderId="14" fillId="0" fontId="9" numFmtId="0" xfId="0" applyAlignment="1" applyBorder="1" applyFont="1">
      <alignment readingOrder="0" shrinkToFit="0" wrapText="1"/>
    </xf>
    <xf borderId="15" fillId="0" fontId="13" numFmtId="0" xfId="0" applyAlignment="1" applyBorder="1" applyFont="1">
      <alignment readingOrder="0" shrinkToFit="0" wrapText="1"/>
    </xf>
    <xf borderId="16" fillId="0" fontId="13" numFmtId="0" xfId="0" applyAlignment="1" applyBorder="1" applyFont="1">
      <alignment readingOrder="0" shrinkToFit="0" wrapText="1"/>
    </xf>
    <xf borderId="26" fillId="0" fontId="28" numFmtId="3" xfId="0" applyAlignment="1" applyBorder="1" applyFont="1" applyNumberFormat="1">
      <alignment readingOrder="0" shrinkToFit="0" wrapText="1"/>
    </xf>
    <xf borderId="29" fillId="0" fontId="11" numFmtId="0" xfId="0" applyAlignment="1" applyBorder="1" applyFont="1">
      <alignment readingOrder="0" shrinkToFit="0" wrapText="1"/>
    </xf>
    <xf borderId="29" fillId="0" fontId="10" numFmtId="3" xfId="0" applyAlignment="1" applyBorder="1" applyFont="1" applyNumberFormat="1">
      <alignment readingOrder="0" shrinkToFit="0" wrapText="1"/>
    </xf>
    <xf borderId="29" fillId="0" fontId="10" numFmtId="0" xfId="0" applyAlignment="1" applyBorder="1" applyFont="1">
      <alignment readingOrder="0" shrinkToFit="0" wrapText="1"/>
    </xf>
    <xf borderId="29" fillId="0" fontId="28" numFmtId="0" xfId="0" applyAlignment="1" applyBorder="1" applyFont="1">
      <alignment shrinkToFit="0" wrapText="1"/>
    </xf>
    <xf borderId="29" fillId="0" fontId="10" numFmtId="0" xfId="0" applyAlignment="1" applyBorder="1" applyFont="1">
      <alignment shrinkToFit="0" wrapText="1"/>
    </xf>
    <xf borderId="30" fillId="0" fontId="10" numFmtId="0" xfId="0" applyAlignment="1" applyBorder="1" applyFont="1">
      <alignment shrinkToFit="0" wrapText="1"/>
    </xf>
    <xf borderId="30" fillId="0" fontId="10" numFmtId="0" xfId="0" applyAlignment="1" applyBorder="1" applyFont="1">
      <alignment readingOrder="0" shrinkToFit="0" wrapText="1"/>
    </xf>
    <xf borderId="39" fillId="0" fontId="28" numFmtId="3" xfId="0" applyAlignment="1" applyBorder="1" applyFont="1" applyNumberFormat="1">
      <alignment readingOrder="0" shrinkToFit="0" wrapText="1"/>
    </xf>
    <xf borderId="40" fillId="0" fontId="11" numFmtId="0" xfId="0" applyAlignment="1" applyBorder="1" applyFont="1">
      <alignment readingOrder="0" shrinkToFit="0" wrapText="1"/>
    </xf>
    <xf borderId="40" fillId="0" fontId="10" numFmtId="0" xfId="0" applyAlignment="1" applyBorder="1" applyFont="1">
      <alignment readingOrder="0" shrinkToFit="0" wrapText="1"/>
    </xf>
    <xf borderId="40" fillId="0" fontId="10" numFmtId="0" xfId="0" applyAlignment="1" applyBorder="1" applyFont="1">
      <alignment shrinkToFit="0" wrapText="1"/>
    </xf>
    <xf borderId="41" fillId="0" fontId="10" numFmtId="0" xfId="0" applyAlignment="1" applyBorder="1" applyFont="1">
      <alignment shrinkToFit="0" wrapText="1"/>
    </xf>
    <xf borderId="29" fillId="0" fontId="10" numFmtId="3" xfId="0" applyAlignment="1" applyBorder="1" applyFont="1" applyNumberFormat="1">
      <alignment shrinkToFit="0" wrapText="1"/>
    </xf>
    <xf borderId="41" fillId="0" fontId="10" numFmtId="3" xfId="0" applyAlignment="1" applyBorder="1" applyFont="1" applyNumberFormat="1">
      <alignment shrinkToFit="0" wrapText="1"/>
    </xf>
    <xf borderId="147" fillId="5" fontId="33" numFmtId="0" xfId="0" applyAlignment="1" applyBorder="1" applyFont="1">
      <alignment readingOrder="0" shrinkToFit="0" wrapText="1"/>
    </xf>
    <xf borderId="149" fillId="5" fontId="33" numFmtId="0" xfId="0" applyAlignment="1" applyBorder="1" applyFont="1">
      <alignment readingOrder="0" shrinkToFit="0" wrapText="1"/>
    </xf>
    <xf borderId="149" fillId="5" fontId="33" numFmtId="0" xfId="0" applyAlignment="1" applyBorder="1" applyFont="1">
      <alignment horizontal="center" readingOrder="0" shrinkToFit="0" wrapText="0"/>
    </xf>
    <xf borderId="150" fillId="5" fontId="33" numFmtId="0" xfId="0" applyAlignment="1" applyBorder="1" applyFont="1">
      <alignment readingOrder="0" shrinkToFit="0" wrapText="1"/>
    </xf>
    <xf borderId="23" fillId="3" fontId="10" numFmtId="3" xfId="0" applyAlignment="1" applyBorder="1" applyFont="1" applyNumberFormat="1">
      <alignment readingOrder="0" shrinkToFit="0" wrapText="1"/>
    </xf>
    <xf borderId="29" fillId="3" fontId="10" numFmtId="165" xfId="0" applyAlignment="1" applyBorder="1" applyFont="1" applyNumberFormat="1">
      <alignment readingOrder="0" shrinkToFit="0" wrapText="1"/>
    </xf>
    <xf borderId="29" fillId="3" fontId="10" numFmtId="0" xfId="0" applyAlignment="1" applyBorder="1" applyFont="1">
      <alignment shrinkToFit="0" wrapText="1"/>
    </xf>
    <xf borderId="29" fillId="3" fontId="10" numFmtId="0" xfId="0" applyAlignment="1" applyBorder="1" applyFont="1">
      <alignment shrinkToFit="0" wrapText="0"/>
    </xf>
    <xf borderId="151" fillId="3" fontId="10" numFmtId="0" xfId="0" applyAlignment="1" applyBorder="1" applyFont="1">
      <alignment shrinkToFit="0" wrapText="1"/>
    </xf>
    <xf borderId="23" fillId="8" fontId="10" numFmtId="3" xfId="0" applyAlignment="1" applyBorder="1" applyFont="1" applyNumberFormat="1">
      <alignment readingOrder="0" shrinkToFit="0" wrapText="1"/>
    </xf>
    <xf borderId="24" fillId="8" fontId="10" numFmtId="0" xfId="0" applyAlignment="1" applyBorder="1" applyFont="1">
      <alignment readingOrder="0" shrinkToFit="0" wrapText="1"/>
    </xf>
    <xf borderId="24" fillId="8" fontId="10" numFmtId="165" xfId="0" applyAlignment="1" applyBorder="1" applyFont="1" applyNumberFormat="1">
      <alignment readingOrder="0" shrinkToFit="0" wrapText="1"/>
    </xf>
    <xf borderId="29" fillId="8" fontId="10" numFmtId="165" xfId="0" applyAlignment="1" applyBorder="1" applyFont="1" applyNumberFormat="1">
      <alignment readingOrder="0" shrinkToFit="0" wrapText="1"/>
    </xf>
    <xf borderId="29" fillId="8" fontId="10" numFmtId="0" xfId="0" applyAlignment="1" applyBorder="1" applyFont="1">
      <alignment shrinkToFit="0" wrapText="1"/>
    </xf>
    <xf borderId="24" fillId="8" fontId="10" numFmtId="0" xfId="0" applyAlignment="1" applyBorder="1" applyFont="1">
      <alignment readingOrder="0" shrinkToFit="0" wrapText="0"/>
    </xf>
    <xf borderId="29" fillId="8" fontId="10" numFmtId="0" xfId="0" applyAlignment="1" applyBorder="1" applyFont="1">
      <alignment shrinkToFit="0" wrapText="0"/>
    </xf>
    <xf borderId="151" fillId="8" fontId="10" numFmtId="0" xfId="0" applyAlignment="1" applyBorder="1" applyFont="1">
      <alignment shrinkToFit="0" wrapText="1"/>
    </xf>
    <xf borderId="27" fillId="8" fontId="4" numFmtId="0" xfId="0" applyBorder="1" applyFont="1"/>
    <xf borderId="26" fillId="3" fontId="10" numFmtId="3" xfId="0" applyAlignment="1" applyBorder="1" applyFont="1" applyNumberFormat="1">
      <alignment shrinkToFit="0" wrapText="1"/>
    </xf>
    <xf borderId="29" fillId="3" fontId="10" numFmtId="0" xfId="0" applyAlignment="1" applyBorder="1" applyFont="1">
      <alignment readingOrder="0" shrinkToFit="0" wrapText="1"/>
    </xf>
    <xf borderId="26" fillId="8" fontId="10" numFmtId="3" xfId="0" applyAlignment="1" applyBorder="1" applyFont="1" applyNumberFormat="1">
      <alignment shrinkToFit="0" wrapText="1"/>
    </xf>
    <xf borderId="29" fillId="8" fontId="10" numFmtId="165" xfId="0" applyAlignment="1" applyBorder="1" applyFont="1" applyNumberFormat="1">
      <alignment shrinkToFit="0" wrapText="1"/>
    </xf>
    <xf borderId="29" fillId="8" fontId="10" numFmtId="0" xfId="0" applyAlignment="1" applyBorder="1" applyFont="1">
      <alignment readingOrder="0" shrinkToFit="0" wrapText="1"/>
    </xf>
    <xf borderId="29" fillId="3" fontId="10" numFmtId="165" xfId="0" applyAlignment="1" applyBorder="1" applyFont="1" applyNumberFormat="1">
      <alignment shrinkToFit="0" wrapText="1"/>
    </xf>
    <xf borderId="39" fillId="8" fontId="10" numFmtId="3" xfId="0" applyAlignment="1" applyBorder="1" applyFont="1" applyNumberFormat="1">
      <alignment shrinkToFit="0" wrapText="1"/>
    </xf>
    <xf borderId="40" fillId="8" fontId="10" numFmtId="0" xfId="0" applyAlignment="1" applyBorder="1" applyFont="1">
      <alignment shrinkToFit="0" wrapText="1"/>
    </xf>
    <xf borderId="40" fillId="8" fontId="10" numFmtId="165" xfId="0" applyAlignment="1" applyBorder="1" applyFont="1" applyNumberFormat="1">
      <alignment shrinkToFit="0" wrapText="1"/>
    </xf>
    <xf borderId="40" fillId="8" fontId="10" numFmtId="165" xfId="0" applyAlignment="1" applyBorder="1" applyFont="1" applyNumberFormat="1">
      <alignment readingOrder="0" shrinkToFit="0" wrapText="1"/>
    </xf>
    <xf borderId="40" fillId="8" fontId="10" numFmtId="0" xfId="0" applyAlignment="1" applyBorder="1" applyFont="1">
      <alignment readingOrder="0" shrinkToFit="0" wrapText="1"/>
    </xf>
    <xf borderId="40" fillId="8" fontId="10" numFmtId="0" xfId="0" applyAlignment="1" applyBorder="1" applyFont="1">
      <alignment shrinkToFit="0" wrapText="0"/>
    </xf>
    <xf borderId="152" fillId="8" fontId="10" numFmtId="0" xfId="0" applyAlignment="1" applyBorder="1" applyFont="1">
      <alignment shrinkToFit="0" wrapText="1"/>
    </xf>
    <xf borderId="4" fillId="8" fontId="4" numFmtId="0" xfId="0" applyBorder="1" applyFont="1"/>
    <xf borderId="111" fillId="8" fontId="4" numFmtId="0" xfId="0" applyBorder="1" applyFont="1"/>
    <xf borderId="8" fillId="6" fontId="3" numFmtId="0" xfId="0" applyAlignment="1" applyBorder="1" applyFont="1">
      <alignment readingOrder="0" shrinkToFit="0" wrapText="1"/>
    </xf>
    <xf borderId="153" fillId="6" fontId="4" numFmtId="0" xfId="0" applyBorder="1" applyFont="1"/>
    <xf borderId="154" fillId="6" fontId="44" numFmtId="0" xfId="0" applyAlignment="1" applyBorder="1" applyFont="1">
      <alignment readingOrder="0" shrinkToFit="0" wrapText="1"/>
    </xf>
    <xf borderId="155" fillId="0" fontId="3" numFmtId="0" xfId="0" applyAlignment="1" applyBorder="1" applyFont="1">
      <alignment readingOrder="0" shrinkToFit="0" wrapText="1"/>
    </xf>
    <xf borderId="154" fillId="0" fontId="44" numFmtId="0" xfId="0" applyAlignment="1" applyBorder="1" applyFont="1">
      <alignment readingOrder="0" shrinkToFit="0" wrapText="1"/>
    </xf>
    <xf borderId="32" fillId="3" fontId="31" numFmtId="166" xfId="0" applyAlignment="1" applyBorder="1" applyFont="1" applyNumberFormat="1">
      <alignment readingOrder="0" shrinkToFit="0" wrapText="1"/>
    </xf>
    <xf borderId="28" fillId="0" fontId="31" numFmtId="0" xfId="0" applyAlignment="1" applyBorder="1" applyFont="1">
      <alignment readingOrder="0" shrinkToFit="0" wrapText="0"/>
    </xf>
    <xf borderId="32" fillId="0" fontId="31" numFmtId="3" xfId="0" applyAlignment="1" applyBorder="1" applyFont="1" applyNumberFormat="1">
      <alignment readingOrder="0" shrinkToFit="0" wrapText="1"/>
    </xf>
    <xf borderId="107" fillId="9" fontId="28" numFmtId="0" xfId="0" applyAlignment="1" applyBorder="1" applyFont="1">
      <alignment readingOrder="0" shrinkToFit="0" wrapText="1"/>
    </xf>
    <xf borderId="112" fillId="9" fontId="4" numFmtId="0" xfId="0" applyBorder="1" applyFont="1"/>
    <xf borderId="32" fillId="9" fontId="31" numFmtId="166" xfId="0" applyAlignment="1" applyBorder="1" applyFont="1" applyNumberFormat="1">
      <alignment readingOrder="0" shrinkToFit="0" wrapText="1"/>
    </xf>
    <xf borderId="42" fillId="0" fontId="35" numFmtId="0" xfId="0" applyAlignment="1" applyBorder="1" applyFont="1">
      <alignment readingOrder="0" shrinkToFit="0" wrapText="1"/>
    </xf>
    <xf borderId="44" fillId="0" fontId="35" numFmtId="0" xfId="0" applyAlignment="1" applyBorder="1" applyFont="1">
      <alignment readingOrder="0" shrinkToFit="0" wrapText="1"/>
    </xf>
    <xf borderId="156" fillId="3" fontId="4" numFmtId="0" xfId="0" applyBorder="1" applyFont="1"/>
    <xf borderId="44" fillId="3" fontId="35" numFmtId="165" xfId="0" applyAlignment="1" applyBorder="1" applyFont="1" applyNumberFormat="1">
      <alignment readingOrder="0" shrinkToFit="0" wrapText="1"/>
    </xf>
    <xf borderId="122" fillId="6" fontId="3" numFmtId="0" xfId="0" applyAlignment="1" applyBorder="1" applyFont="1">
      <alignment horizontal="left" readingOrder="0" shrinkToFit="0" wrapText="1"/>
    </xf>
    <xf borderId="44" fillId="3" fontId="35" numFmtId="165" xfId="0" applyAlignment="1" applyBorder="1" applyFont="1" applyNumberFormat="1">
      <alignment readingOrder="0" shrinkToFit="0" wrapText="1"/>
    </xf>
    <xf borderId="8" fillId="6" fontId="3" numFmtId="0" xfId="0" applyAlignment="1" applyBorder="1" applyFont="1">
      <alignment readingOrder="0" shrinkToFit="0" wrapText="0"/>
    </xf>
    <xf borderId="157" fillId="6" fontId="3" numFmtId="0" xfId="0" applyAlignment="1" applyBorder="1" applyFont="1">
      <alignment readingOrder="0" shrinkToFit="0" wrapText="1"/>
    </xf>
    <xf borderId="157" fillId="6" fontId="2" numFmtId="0" xfId="0" applyAlignment="1" applyBorder="1" applyFont="1">
      <alignment readingOrder="0" shrinkToFit="0" wrapText="1"/>
    </xf>
    <xf borderId="157" fillId="6" fontId="4" numFmtId="0" xfId="0" applyAlignment="1" applyBorder="1" applyFont="1">
      <alignment shrinkToFit="0" wrapText="1"/>
    </xf>
    <xf borderId="157" fillId="6" fontId="2" numFmtId="0" xfId="0" applyAlignment="1" applyBorder="1" applyFont="1">
      <alignment shrinkToFit="0" wrapText="1"/>
    </xf>
    <xf borderId="154" fillId="6" fontId="2" numFmtId="0" xfId="0" applyAlignment="1" applyBorder="1" applyFont="1">
      <alignment shrinkToFit="0" wrapText="1"/>
    </xf>
    <xf borderId="17" fillId="3" fontId="9" numFmtId="0" xfId="0" applyAlignment="1" applyBorder="1" applyFont="1">
      <alignment readingOrder="0" shrinkToFit="0" wrapText="1"/>
    </xf>
    <xf borderId="18" fillId="3" fontId="13" numFmtId="0" xfId="0" applyAlignment="1" applyBorder="1" applyFont="1">
      <alignment readingOrder="0" shrinkToFit="0" wrapText="1"/>
    </xf>
    <xf borderId="19" fillId="3" fontId="13" numFmtId="0" xfId="0" applyAlignment="1" applyBorder="1" applyFont="1">
      <alignment readingOrder="0" shrinkToFit="0" wrapText="1"/>
    </xf>
    <xf borderId="26" fillId="9" fontId="28" numFmtId="3" xfId="0" applyAlignment="1" applyBorder="1" applyFont="1" applyNumberFormat="1">
      <alignment readingOrder="0" shrinkToFit="0" wrapText="1"/>
    </xf>
    <xf borderId="31" fillId="9" fontId="11" numFmtId="0" xfId="0" applyAlignment="1" applyBorder="1" applyFont="1">
      <alignment readingOrder="0" shrinkToFit="0" wrapText="1"/>
    </xf>
    <xf borderId="31" fillId="9" fontId="10" numFmtId="3" xfId="0" applyAlignment="1" applyBorder="1" applyFont="1" applyNumberFormat="1">
      <alignment readingOrder="0" shrinkToFit="0" wrapText="1"/>
    </xf>
    <xf borderId="31" fillId="9" fontId="10" numFmtId="0" xfId="0" applyAlignment="1" applyBorder="1" applyFont="1">
      <alignment readingOrder="0" shrinkToFit="0" wrapText="1"/>
    </xf>
    <xf borderId="31" fillId="9" fontId="28" numFmtId="0" xfId="0" applyAlignment="1" applyBorder="1" applyFont="1">
      <alignment shrinkToFit="0" wrapText="1"/>
    </xf>
    <xf borderId="31" fillId="9" fontId="10" numFmtId="0" xfId="0" applyAlignment="1" applyBorder="1" applyFont="1">
      <alignment shrinkToFit="0" wrapText="1"/>
    </xf>
    <xf borderId="32" fillId="9" fontId="10" numFmtId="0" xfId="0" applyAlignment="1" applyBorder="1" applyFont="1">
      <alignment shrinkToFit="0" wrapText="1"/>
    </xf>
    <xf borderId="26" fillId="3" fontId="28" numFmtId="3" xfId="0" applyAlignment="1" applyBorder="1" applyFont="1" applyNumberFormat="1">
      <alignment readingOrder="0" shrinkToFit="0" wrapText="1"/>
    </xf>
    <xf borderId="31" fillId="3" fontId="11" numFmtId="0" xfId="0" applyAlignment="1" applyBorder="1" applyFont="1">
      <alignment readingOrder="0" shrinkToFit="0" wrapText="1"/>
    </xf>
    <xf borderId="31" fillId="3" fontId="10" numFmtId="0" xfId="0" applyAlignment="1" applyBorder="1" applyFont="1">
      <alignment readingOrder="0" shrinkToFit="0" wrapText="1"/>
    </xf>
    <xf borderId="31" fillId="3" fontId="10" numFmtId="3" xfId="0" applyAlignment="1" applyBorder="1" applyFont="1" applyNumberFormat="1">
      <alignment readingOrder="0" shrinkToFit="0" wrapText="1"/>
    </xf>
    <xf borderId="32" fillId="3" fontId="10" numFmtId="0" xfId="0" applyAlignment="1" applyBorder="1" applyFont="1">
      <alignment readingOrder="0" shrinkToFit="0" wrapText="1"/>
    </xf>
    <xf borderId="31" fillId="3" fontId="10" numFmtId="0" xfId="0" applyAlignment="1" applyBorder="1" applyFont="1">
      <alignment shrinkToFit="0" wrapText="1"/>
    </xf>
    <xf borderId="32" fillId="3" fontId="10" numFmtId="0" xfId="0" applyAlignment="1" applyBorder="1" applyFont="1">
      <alignment shrinkToFit="0" wrapText="1"/>
    </xf>
    <xf borderId="39" fillId="9" fontId="28" numFmtId="3" xfId="0" applyAlignment="1" applyBorder="1" applyFont="1" applyNumberFormat="1">
      <alignment readingOrder="0" shrinkToFit="0" wrapText="1"/>
    </xf>
    <xf borderId="43" fillId="9" fontId="11" numFmtId="0" xfId="0" applyAlignment="1" applyBorder="1" applyFont="1">
      <alignment readingOrder="0" shrinkToFit="0" wrapText="1"/>
    </xf>
    <xf borderId="43" fillId="9" fontId="10" numFmtId="0" xfId="0" applyAlignment="1" applyBorder="1" applyFont="1">
      <alignment readingOrder="0" shrinkToFit="0" wrapText="1"/>
    </xf>
    <xf borderId="43" fillId="9" fontId="10" numFmtId="0" xfId="0" applyAlignment="1" applyBorder="1" applyFont="1">
      <alignment shrinkToFit="0" wrapText="1"/>
    </xf>
    <xf borderId="44" fillId="9" fontId="10" numFmtId="0" xfId="0" applyAlignment="1" applyBorder="1" applyFont="1">
      <alignment shrinkToFit="0" wrapText="1"/>
    </xf>
    <xf borderId="28" fillId="9" fontId="28" numFmtId="3" xfId="0" applyAlignment="1" applyBorder="1" applyFont="1" applyNumberFormat="1">
      <alignment readingOrder="0" shrinkToFit="0" wrapText="1"/>
    </xf>
    <xf borderId="28" fillId="3" fontId="28" numFmtId="3" xfId="0" applyAlignment="1" applyBorder="1" applyFont="1" applyNumberFormat="1">
      <alignment readingOrder="0" shrinkToFit="0" wrapText="1"/>
    </xf>
    <xf borderId="31" fillId="9" fontId="10" numFmtId="3" xfId="0" applyAlignment="1" applyBorder="1" applyFont="1" applyNumberFormat="1">
      <alignment shrinkToFit="0" wrapText="1"/>
    </xf>
    <xf borderId="31" fillId="3" fontId="10" numFmtId="3" xfId="0" applyAlignment="1" applyBorder="1" applyFont="1" applyNumberFormat="1">
      <alignment shrinkToFit="0" wrapText="1"/>
    </xf>
    <xf borderId="42" fillId="3" fontId="28" numFmtId="3" xfId="0" applyAlignment="1" applyBorder="1" applyFont="1" applyNumberFormat="1">
      <alignment readingOrder="0" shrinkToFit="0" wrapText="1"/>
    </xf>
    <xf borderId="43" fillId="3" fontId="11" numFmtId="0" xfId="0" applyAlignment="1" applyBorder="1" applyFont="1">
      <alignment readingOrder="0" shrinkToFit="0" wrapText="1"/>
    </xf>
    <xf borderId="43" fillId="3" fontId="10" numFmtId="0" xfId="0" applyAlignment="1" applyBorder="1" applyFont="1">
      <alignment readingOrder="0" shrinkToFit="0" wrapText="1"/>
    </xf>
    <xf borderId="43" fillId="3" fontId="10" numFmtId="0" xfId="0" applyAlignment="1" applyBorder="1" applyFont="1">
      <alignment shrinkToFit="0" wrapText="1"/>
    </xf>
    <xf borderId="44" fillId="3" fontId="10" numFmtId="3" xfId="0" applyAlignment="1" applyBorder="1" applyFont="1" applyNumberFormat="1">
      <alignment shrinkToFit="0" wrapText="1"/>
    </xf>
    <xf borderId="155" fillId="6" fontId="33" numFmtId="0" xfId="0" applyAlignment="1" applyBorder="1" applyFont="1">
      <alignment readingOrder="0" shrinkToFit="0" wrapText="1"/>
    </xf>
    <xf borderId="157" fillId="6" fontId="33" numFmtId="0" xfId="0" applyAlignment="1" applyBorder="1" applyFont="1">
      <alignment readingOrder="0" shrinkToFit="0" wrapText="1"/>
    </xf>
    <xf borderId="157" fillId="6" fontId="33" numFmtId="0" xfId="0" applyAlignment="1" applyBorder="1" applyFont="1">
      <alignment horizontal="center" readingOrder="0" shrinkToFit="0" wrapText="0"/>
    </xf>
    <xf borderId="158" fillId="6" fontId="33" numFmtId="0" xfId="0" applyAlignment="1" applyBorder="1" applyFont="1">
      <alignment readingOrder="0" shrinkToFit="0" wrapText="1"/>
    </xf>
    <xf borderId="31" fillId="3" fontId="10" numFmtId="165" xfId="0" applyAlignment="1" applyBorder="1" applyFont="1" applyNumberFormat="1">
      <alignment readingOrder="0" shrinkToFit="0" wrapText="1"/>
    </xf>
    <xf borderId="31" fillId="3" fontId="10" numFmtId="0" xfId="0" applyAlignment="1" applyBorder="1" applyFont="1">
      <alignment shrinkToFit="0" wrapText="0"/>
    </xf>
    <xf borderId="159" fillId="3" fontId="10" numFmtId="0" xfId="0" applyAlignment="1" applyBorder="1" applyFont="1">
      <alignment shrinkToFit="0" wrapText="1"/>
    </xf>
    <xf borderId="23" fillId="9" fontId="10" numFmtId="3" xfId="0" applyAlignment="1" applyBorder="1" applyFont="1" applyNumberFormat="1">
      <alignment readingOrder="0" shrinkToFit="0" wrapText="1"/>
    </xf>
    <xf borderId="24" fillId="9" fontId="10" numFmtId="0" xfId="0" applyAlignment="1" applyBorder="1" applyFont="1">
      <alignment readingOrder="0" shrinkToFit="0" wrapText="1"/>
    </xf>
    <xf borderId="24" fillId="9" fontId="10" numFmtId="165" xfId="0" applyAlignment="1" applyBorder="1" applyFont="1" applyNumberFormat="1">
      <alignment readingOrder="0" shrinkToFit="0" wrapText="1"/>
    </xf>
    <xf borderId="31" fillId="9" fontId="10" numFmtId="165" xfId="0" applyAlignment="1" applyBorder="1" applyFont="1" applyNumberFormat="1">
      <alignment readingOrder="0" shrinkToFit="0" wrapText="1"/>
    </xf>
    <xf borderId="24" fillId="9" fontId="10" numFmtId="0" xfId="0" applyAlignment="1" applyBorder="1" applyFont="1">
      <alignment readingOrder="0" shrinkToFit="0" wrapText="0"/>
    </xf>
    <xf borderId="31" fillId="9" fontId="10" numFmtId="0" xfId="0" applyAlignment="1" applyBorder="1" applyFont="1">
      <alignment shrinkToFit="0" wrapText="0"/>
    </xf>
    <xf borderId="159" fillId="9" fontId="10" numFmtId="0" xfId="0" applyAlignment="1" applyBorder="1" applyFont="1">
      <alignment shrinkToFit="0" wrapText="1"/>
    </xf>
    <xf borderId="27" fillId="9" fontId="4" numFmtId="0" xfId="0" applyBorder="1" applyFont="1"/>
    <xf borderId="28" fillId="3" fontId="10" numFmtId="3" xfId="0" applyAlignment="1" applyBorder="1" applyFont="1" applyNumberFormat="1">
      <alignment shrinkToFit="0" wrapText="1"/>
    </xf>
    <xf borderId="31" fillId="3" fontId="10" numFmtId="165" xfId="0" applyAlignment="1" applyBorder="1" applyFont="1" applyNumberFormat="1">
      <alignment shrinkToFit="0" wrapText="1"/>
    </xf>
    <xf borderId="31" fillId="3" fontId="10" numFmtId="0" xfId="0" applyAlignment="1" applyBorder="1" applyFont="1">
      <alignment readingOrder="0" shrinkToFit="0" wrapText="0"/>
    </xf>
    <xf borderId="28" fillId="9" fontId="10" numFmtId="3" xfId="0" applyAlignment="1" applyBorder="1" applyFont="1" applyNumberFormat="1">
      <alignment shrinkToFit="0" wrapText="1"/>
    </xf>
    <xf borderId="31" fillId="9" fontId="10" numFmtId="165" xfId="0" applyAlignment="1" applyBorder="1" applyFont="1" applyNumberFormat="1">
      <alignment shrinkToFit="0" wrapText="1"/>
    </xf>
    <xf borderId="31" fillId="9" fontId="10" numFmtId="0" xfId="0" applyAlignment="1" applyBorder="1" applyFont="1">
      <alignment readingOrder="0" shrinkToFit="0" wrapText="0"/>
    </xf>
    <xf borderId="42" fillId="9" fontId="10" numFmtId="3" xfId="0" applyAlignment="1" applyBorder="1" applyFont="1" applyNumberFormat="1">
      <alignment shrinkToFit="0" wrapText="1"/>
    </xf>
    <xf borderId="43" fillId="9" fontId="10" numFmtId="165" xfId="0" applyAlignment="1" applyBorder="1" applyFont="1" applyNumberFormat="1">
      <alignment shrinkToFit="0" wrapText="1"/>
    </xf>
    <xf borderId="43" fillId="9" fontId="10" numFmtId="165" xfId="0" applyAlignment="1" applyBorder="1" applyFont="1" applyNumberFormat="1">
      <alignment readingOrder="0" shrinkToFit="0" wrapText="1"/>
    </xf>
    <xf borderId="43" fillId="9" fontId="10" numFmtId="0" xfId="0" applyAlignment="1" applyBorder="1" applyFont="1">
      <alignment readingOrder="0" shrinkToFit="0" wrapText="0"/>
    </xf>
    <xf borderId="43" fillId="9" fontId="10" numFmtId="0" xfId="0" applyAlignment="1" applyBorder="1" applyFont="1">
      <alignment shrinkToFit="0" wrapText="0"/>
    </xf>
    <xf borderId="160" fillId="9" fontId="10" numFmtId="0" xfId="0" applyAlignment="1" applyBorder="1" applyFont="1">
      <alignment shrinkToFit="0" wrapText="1"/>
    </xf>
    <xf borderId="4" fillId="9" fontId="4" numFmtId="0" xfId="0" applyBorder="1" applyFont="1"/>
    <xf borderId="111" fillId="9" fontId="4" numFmtId="0" xfId="0" applyBorder="1" applyFont="1"/>
    <xf borderId="8" fillId="21" fontId="3" numFmtId="0" xfId="0" applyAlignment="1" applyBorder="1" applyFont="1">
      <alignment readingOrder="0" shrinkToFit="0" wrapText="1"/>
    </xf>
    <xf borderId="161" fillId="21" fontId="4" numFmtId="0" xfId="0" applyBorder="1" applyFont="1"/>
    <xf borderId="162" fillId="21" fontId="44" numFmtId="0" xfId="0" applyAlignment="1" applyBorder="1" applyFont="1">
      <alignment readingOrder="0" shrinkToFit="0" wrapText="1"/>
    </xf>
    <xf borderId="163" fillId="0" fontId="3" numFmtId="0" xfId="0" applyAlignment="1" applyBorder="1" applyFont="1">
      <alignment readingOrder="0" shrinkToFit="0" wrapText="1"/>
    </xf>
    <xf borderId="162" fillId="0" fontId="44" numFmtId="0" xfId="0" applyAlignment="1" applyBorder="1" applyFont="1">
      <alignment readingOrder="0" shrinkToFit="0" wrapText="1"/>
    </xf>
    <xf borderId="85" fillId="3" fontId="31" numFmtId="166" xfId="0" applyAlignment="1" applyBorder="1" applyFont="1" applyNumberFormat="1">
      <alignment readingOrder="0" shrinkToFit="0" wrapText="1"/>
    </xf>
    <xf borderId="80" fillId="0" fontId="31" numFmtId="0" xfId="0" applyAlignment="1" applyBorder="1" applyFont="1">
      <alignment readingOrder="0" shrinkToFit="0" wrapText="1"/>
    </xf>
    <xf borderId="85" fillId="0" fontId="31" numFmtId="3" xfId="0" applyAlignment="1" applyBorder="1" applyFont="1" applyNumberFormat="1">
      <alignment readingOrder="0" shrinkToFit="0" wrapText="1"/>
    </xf>
    <xf borderId="107" fillId="14" fontId="28" numFmtId="0" xfId="0" applyAlignment="1" applyBorder="1" applyFont="1">
      <alignment readingOrder="0" shrinkToFit="0" wrapText="1"/>
    </xf>
    <xf borderId="112" fillId="14" fontId="4" numFmtId="0" xfId="0" applyBorder="1" applyFont="1"/>
    <xf borderId="85" fillId="14" fontId="31" numFmtId="166" xfId="0" applyAlignment="1" applyBorder="1" applyFont="1" applyNumberFormat="1">
      <alignment readingOrder="0" shrinkToFit="0" wrapText="1"/>
    </xf>
    <xf borderId="80" fillId="0" fontId="31" numFmtId="0" xfId="0" applyAlignment="1" applyBorder="1" applyFont="1">
      <alignment readingOrder="0" shrinkToFit="0" wrapText="0"/>
    </xf>
    <xf borderId="91" fillId="0" fontId="35" numFmtId="0" xfId="0" applyAlignment="1" applyBorder="1" applyFont="1">
      <alignment readingOrder="0" shrinkToFit="0" wrapText="1"/>
    </xf>
    <xf borderId="93" fillId="0" fontId="35" numFmtId="0" xfId="0" applyAlignment="1" applyBorder="1" applyFont="1">
      <alignment readingOrder="0" shrinkToFit="0" wrapText="1"/>
    </xf>
    <xf borderId="164" fillId="3" fontId="4" numFmtId="0" xfId="0" applyBorder="1" applyFont="1"/>
    <xf borderId="93" fillId="3" fontId="35" numFmtId="165" xfId="0" applyAlignment="1" applyBorder="1" applyFont="1" applyNumberFormat="1">
      <alignment readingOrder="0" shrinkToFit="0" wrapText="1"/>
    </xf>
    <xf borderId="122" fillId="21" fontId="3" numFmtId="0" xfId="0" applyAlignment="1" applyBorder="1" applyFont="1">
      <alignment horizontal="left" readingOrder="0" shrinkToFit="0" wrapText="1"/>
    </xf>
    <xf borderId="93" fillId="3" fontId="35" numFmtId="165" xfId="0" applyAlignment="1" applyBorder="1" applyFont="1" applyNumberFormat="1">
      <alignment readingOrder="0" shrinkToFit="0" wrapText="1"/>
    </xf>
    <xf borderId="163" fillId="0" fontId="3" numFmtId="0" xfId="0" applyAlignment="1" applyBorder="1" applyFont="1">
      <alignment readingOrder="0" shrinkToFit="0" wrapText="0"/>
    </xf>
    <xf borderId="165" fillId="0" fontId="53" numFmtId="0" xfId="0" applyAlignment="1" applyBorder="1" applyFont="1">
      <alignment readingOrder="0" shrinkToFit="0" wrapText="1"/>
    </xf>
    <xf borderId="165" fillId="0" fontId="3" numFmtId="0" xfId="0" applyAlignment="1" applyBorder="1" applyFont="1">
      <alignment readingOrder="0" shrinkToFit="0" wrapText="1"/>
    </xf>
    <xf borderId="165" fillId="0" fontId="2" numFmtId="0" xfId="0" applyAlignment="1" applyBorder="1" applyFont="1">
      <alignment readingOrder="0" shrinkToFit="0" wrapText="1"/>
    </xf>
    <xf borderId="165" fillId="0" fontId="4" numFmtId="0" xfId="0" applyAlignment="1" applyBorder="1" applyFont="1">
      <alignment shrinkToFit="0" wrapText="1"/>
    </xf>
    <xf borderId="165" fillId="0" fontId="2" numFmtId="0" xfId="0" applyAlignment="1" applyBorder="1" applyFont="1">
      <alignment shrinkToFit="0" wrapText="1"/>
    </xf>
    <xf borderId="162" fillId="0" fontId="2" numFmtId="0" xfId="0" applyAlignment="1" applyBorder="1" applyFont="1">
      <alignment shrinkToFit="0" wrapText="1"/>
    </xf>
    <xf borderId="73" fillId="0" fontId="9" numFmtId="0" xfId="0" applyAlignment="1" applyBorder="1" applyFont="1">
      <alignment readingOrder="0" shrinkToFit="0" wrapText="1"/>
    </xf>
    <xf borderId="74" fillId="0" fontId="13" numFmtId="0" xfId="0" applyAlignment="1" applyBorder="1" applyFont="1">
      <alignment readingOrder="0" shrinkToFit="0" wrapText="1"/>
    </xf>
    <xf borderId="75" fillId="0" fontId="13" numFmtId="0" xfId="0" applyAlignment="1" applyBorder="1" applyFont="1">
      <alignment readingOrder="0" shrinkToFit="0" wrapText="1"/>
    </xf>
    <xf borderId="26" fillId="0" fontId="28" numFmtId="167" xfId="0" applyAlignment="1" applyBorder="1" applyFont="1" applyNumberFormat="1">
      <alignment horizontal="left" readingOrder="0" shrinkToFit="0" wrapText="1"/>
    </xf>
    <xf borderId="84" fillId="0" fontId="11" numFmtId="0" xfId="0" applyAlignment="1" applyBorder="1" applyFont="1">
      <alignment readingOrder="0" shrinkToFit="0" wrapText="1"/>
    </xf>
    <xf borderId="84" fillId="0" fontId="10" numFmtId="167" xfId="0" applyAlignment="1" applyBorder="1" applyFont="1" applyNumberFormat="1">
      <alignment readingOrder="0" shrinkToFit="0" wrapText="1"/>
    </xf>
    <xf borderId="84" fillId="0" fontId="10" numFmtId="0" xfId="0" applyAlignment="1" applyBorder="1" applyFont="1">
      <alignment readingOrder="0" shrinkToFit="0" wrapText="1"/>
    </xf>
    <xf borderId="84" fillId="0" fontId="28" numFmtId="0" xfId="0" applyAlignment="1" applyBorder="1" applyFont="1">
      <alignment shrinkToFit="0" wrapText="1"/>
    </xf>
    <xf borderId="84" fillId="0" fontId="10" numFmtId="0" xfId="0" applyAlignment="1" applyBorder="1" applyFont="1">
      <alignment shrinkToFit="0" wrapText="1"/>
    </xf>
    <xf borderId="85" fillId="0" fontId="10" numFmtId="0" xfId="0" applyAlignment="1" applyBorder="1" applyFont="1">
      <alignment shrinkToFit="0" wrapText="1"/>
    </xf>
    <xf borderId="84" fillId="0" fontId="10" numFmtId="3" xfId="0" applyAlignment="1" applyBorder="1" applyFont="1" applyNumberFormat="1">
      <alignment readingOrder="0" shrinkToFit="0" wrapText="1"/>
    </xf>
    <xf borderId="85" fillId="0" fontId="10" numFmtId="0" xfId="0" applyAlignment="1" applyBorder="1" applyFont="1">
      <alignment readingOrder="0" shrinkToFit="0" wrapText="1"/>
    </xf>
    <xf borderId="92" fillId="0" fontId="11" numFmtId="0" xfId="0" applyAlignment="1" applyBorder="1" applyFont="1">
      <alignment readingOrder="0" shrinkToFit="0" wrapText="1"/>
    </xf>
    <xf borderId="92" fillId="0" fontId="10" numFmtId="0" xfId="0" applyAlignment="1" applyBorder="1" applyFont="1">
      <alignment readingOrder="0" shrinkToFit="0" wrapText="1"/>
    </xf>
    <xf borderId="92" fillId="0" fontId="10" numFmtId="0" xfId="0" applyAlignment="1" applyBorder="1" applyFont="1">
      <alignment shrinkToFit="0" wrapText="1"/>
    </xf>
    <xf borderId="93" fillId="0" fontId="10" numFmtId="0" xfId="0" applyAlignment="1" applyBorder="1" applyFont="1">
      <alignment shrinkToFit="0" wrapText="1"/>
    </xf>
    <xf borderId="80" fillId="0" fontId="28" numFmtId="3" xfId="0" applyAlignment="1" applyBorder="1" applyFont="1" applyNumberFormat="1">
      <alignment readingOrder="0" shrinkToFit="0" wrapText="1"/>
    </xf>
    <xf borderId="84" fillId="0" fontId="10" numFmtId="3" xfId="0" applyAlignment="1" applyBorder="1" applyFont="1" applyNumberFormat="1">
      <alignment shrinkToFit="0" wrapText="1"/>
    </xf>
    <xf borderId="91" fillId="0" fontId="28" numFmtId="3" xfId="0" applyAlignment="1" applyBorder="1" applyFont="1" applyNumberFormat="1">
      <alignment readingOrder="0" shrinkToFit="0" wrapText="1"/>
    </xf>
    <xf borderId="93" fillId="0" fontId="10" numFmtId="3" xfId="0" applyAlignment="1" applyBorder="1" applyFont="1" applyNumberFormat="1">
      <alignment shrinkToFit="0" wrapText="1"/>
    </xf>
    <xf borderId="163" fillId="21" fontId="33" numFmtId="0" xfId="0" applyAlignment="1" applyBorder="1" applyFont="1">
      <alignment readingOrder="0" shrinkToFit="0" wrapText="1"/>
    </xf>
    <xf borderId="165" fillId="21" fontId="33" numFmtId="0" xfId="0" applyAlignment="1" applyBorder="1" applyFont="1">
      <alignment readingOrder="0" shrinkToFit="0" wrapText="1"/>
    </xf>
    <xf borderId="165" fillId="21" fontId="33" numFmtId="0" xfId="0" applyAlignment="1" applyBorder="1" applyFont="1">
      <alignment horizontal="center" readingOrder="0" shrinkToFit="0" wrapText="0"/>
    </xf>
    <xf borderId="166" fillId="21" fontId="33" numFmtId="0" xfId="0" applyAlignment="1" applyBorder="1" applyFont="1">
      <alignment readingOrder="0" shrinkToFit="0" wrapText="1"/>
    </xf>
    <xf borderId="84" fillId="3" fontId="10" numFmtId="165" xfId="0" applyAlignment="1" applyBorder="1" applyFont="1" applyNumberFormat="1">
      <alignment readingOrder="0" shrinkToFit="0" wrapText="1"/>
    </xf>
    <xf borderId="84" fillId="3" fontId="10" numFmtId="0" xfId="0" applyAlignment="1" applyBorder="1" applyFont="1">
      <alignment shrinkToFit="0" wrapText="1"/>
    </xf>
    <xf borderId="84" fillId="3" fontId="10" numFmtId="0" xfId="0" applyAlignment="1" applyBorder="1" applyFont="1">
      <alignment readingOrder="0" shrinkToFit="0" wrapText="0"/>
    </xf>
    <xf borderId="167" fillId="3" fontId="10" numFmtId="0" xfId="0" applyAlignment="1" applyBorder="1" applyFont="1">
      <alignment shrinkToFit="0" wrapText="1"/>
    </xf>
    <xf borderId="23" fillId="14" fontId="10" numFmtId="3" xfId="0" applyAlignment="1" applyBorder="1" applyFont="1" applyNumberFormat="1">
      <alignment readingOrder="0" shrinkToFit="0" wrapText="1"/>
    </xf>
    <xf borderId="24" fillId="14" fontId="10" numFmtId="0" xfId="0" applyAlignment="1" applyBorder="1" applyFont="1">
      <alignment readingOrder="0" shrinkToFit="0" wrapText="1"/>
    </xf>
    <xf borderId="24" fillId="14" fontId="10" numFmtId="165" xfId="0" applyAlignment="1" applyBorder="1" applyFont="1" applyNumberFormat="1">
      <alignment readingOrder="0" shrinkToFit="0" wrapText="1"/>
    </xf>
    <xf borderId="84" fillId="14" fontId="10" numFmtId="165" xfId="0" applyAlignment="1" applyBorder="1" applyFont="1" applyNumberFormat="1">
      <alignment readingOrder="0" shrinkToFit="0" wrapText="1"/>
    </xf>
    <xf borderId="84" fillId="14" fontId="10" numFmtId="0" xfId="0" applyAlignment="1" applyBorder="1" applyFont="1">
      <alignment shrinkToFit="0" wrapText="1"/>
    </xf>
    <xf borderId="24" fillId="14" fontId="10" numFmtId="0" xfId="0" applyAlignment="1" applyBorder="1" applyFont="1">
      <alignment readingOrder="0" shrinkToFit="0" wrapText="0"/>
    </xf>
    <xf borderId="84" fillId="14" fontId="10" numFmtId="0" xfId="0" applyAlignment="1" applyBorder="1" applyFont="1">
      <alignment shrinkToFit="0" wrapText="0"/>
    </xf>
    <xf borderId="167" fillId="14" fontId="10" numFmtId="0" xfId="0" applyAlignment="1" applyBorder="1" applyFont="1">
      <alignment shrinkToFit="0" wrapText="1"/>
    </xf>
    <xf borderId="27" fillId="14" fontId="4" numFmtId="0" xfId="0" applyBorder="1" applyFont="1"/>
    <xf borderId="80" fillId="3" fontId="10" numFmtId="3" xfId="0" applyAlignment="1" applyBorder="1" applyFont="1" applyNumberFormat="1">
      <alignment readingOrder="0" shrinkToFit="0" wrapText="1"/>
    </xf>
    <xf borderId="84" fillId="3" fontId="10" numFmtId="0" xfId="0" applyAlignment="1" applyBorder="1" applyFont="1">
      <alignment readingOrder="0" shrinkToFit="0" wrapText="1"/>
    </xf>
    <xf borderId="80" fillId="14" fontId="10" numFmtId="3" xfId="0" applyAlignment="1" applyBorder="1" applyFont="1" applyNumberFormat="1">
      <alignment readingOrder="0" shrinkToFit="0" wrapText="1"/>
    </xf>
    <xf borderId="84" fillId="14" fontId="10" numFmtId="0" xfId="0" applyAlignment="1" applyBorder="1" applyFont="1">
      <alignment readingOrder="0" shrinkToFit="0" wrapText="1"/>
    </xf>
    <xf borderId="84" fillId="14" fontId="10" numFmtId="0" xfId="0" applyAlignment="1" applyBorder="1" applyFont="1">
      <alignment readingOrder="0" shrinkToFit="0" wrapText="0"/>
    </xf>
    <xf borderId="84" fillId="3" fontId="10" numFmtId="0" xfId="0" applyAlignment="1" applyBorder="1" applyFont="1">
      <alignment shrinkToFit="0" wrapText="0"/>
    </xf>
    <xf borderId="167" fillId="3" fontId="10" numFmtId="0" xfId="0" applyAlignment="1" applyBorder="1" applyFont="1">
      <alignment readingOrder="0" shrinkToFit="0" wrapText="1"/>
    </xf>
    <xf borderId="84" fillId="3" fontId="10" numFmtId="165" xfId="0" applyAlignment="1" applyBorder="1" applyFont="1" applyNumberFormat="1">
      <alignment shrinkToFit="0" wrapText="1"/>
    </xf>
    <xf borderId="84" fillId="14" fontId="10" numFmtId="165" xfId="0" applyAlignment="1" applyBorder="1" applyFont="1" applyNumberFormat="1">
      <alignment shrinkToFit="0" wrapText="1"/>
    </xf>
    <xf borderId="80" fillId="3" fontId="10" numFmtId="3" xfId="0" applyAlignment="1" applyBorder="1" applyFont="1" applyNumberFormat="1">
      <alignment shrinkToFit="0" wrapText="1"/>
    </xf>
    <xf borderId="80" fillId="14" fontId="10" numFmtId="3" xfId="0" applyAlignment="1" applyBorder="1" applyFont="1" applyNumberFormat="1">
      <alignment shrinkToFit="0" wrapText="1"/>
    </xf>
    <xf borderId="91" fillId="14" fontId="10" numFmtId="3" xfId="0" applyAlignment="1" applyBorder="1" applyFont="1" applyNumberFormat="1">
      <alignment shrinkToFit="0" wrapText="1"/>
    </xf>
    <xf borderId="92" fillId="14" fontId="10" numFmtId="0" xfId="0" applyAlignment="1" applyBorder="1" applyFont="1">
      <alignment shrinkToFit="0" wrapText="1"/>
    </xf>
    <xf borderId="92" fillId="14" fontId="10" numFmtId="165" xfId="0" applyAlignment="1" applyBorder="1" applyFont="1" applyNumberFormat="1">
      <alignment shrinkToFit="0" wrapText="1"/>
    </xf>
    <xf borderId="92" fillId="14" fontId="10" numFmtId="165" xfId="0" applyAlignment="1" applyBorder="1" applyFont="1" applyNumberFormat="1">
      <alignment readingOrder="0" shrinkToFit="0" wrapText="1"/>
    </xf>
    <xf borderId="92" fillId="14" fontId="10" numFmtId="0" xfId="0" applyAlignment="1" applyBorder="1" applyFont="1">
      <alignment readingOrder="0" shrinkToFit="0" wrapText="0"/>
    </xf>
    <xf borderId="92" fillId="14" fontId="10" numFmtId="0" xfId="0" applyAlignment="1" applyBorder="1" applyFont="1">
      <alignment shrinkToFit="0" wrapText="0"/>
    </xf>
    <xf borderId="168" fillId="14" fontId="10" numFmtId="0" xfId="0" applyAlignment="1" applyBorder="1" applyFont="1">
      <alignment shrinkToFit="0" wrapText="1"/>
    </xf>
    <xf borderId="4" fillId="14" fontId="4" numFmtId="0" xfId="0" applyBorder="1" applyFont="1"/>
    <xf borderId="111" fillId="14" fontId="4" numFmtId="0" xfId="0" applyBorder="1" applyFont="1"/>
    <xf borderId="0" fillId="0" fontId="6" numFmtId="0" xfId="0" applyAlignment="1" applyFont="1">
      <alignment readingOrder="0" shrinkToFit="0" wrapText="0"/>
    </xf>
    <xf borderId="8" fillId="16" fontId="3" numFmtId="0" xfId="0" applyAlignment="1" applyBorder="1" applyFont="1">
      <alignment readingOrder="0" shrinkToFit="0" wrapText="1"/>
    </xf>
    <xf borderId="169" fillId="16" fontId="4" numFmtId="0" xfId="0" applyBorder="1" applyFont="1"/>
    <xf borderId="170" fillId="16" fontId="44" numFmtId="0" xfId="0" applyAlignment="1" applyBorder="1" applyFont="1">
      <alignment readingOrder="0" shrinkToFit="0" wrapText="1"/>
    </xf>
    <xf borderId="171" fillId="0" fontId="3" numFmtId="0" xfId="0" applyAlignment="1" applyBorder="1" applyFont="1">
      <alignment readingOrder="0" shrinkToFit="0" wrapText="1"/>
    </xf>
    <xf borderId="170" fillId="0" fontId="44" numFmtId="0" xfId="0" applyAlignment="1" applyBorder="1" applyFont="1">
      <alignment readingOrder="0" shrinkToFit="0" wrapText="1"/>
    </xf>
    <xf borderId="0" fillId="3" fontId="26" numFmtId="0" xfId="0" applyAlignment="1" applyFont="1">
      <alignment readingOrder="0" shrinkToFit="0" wrapText="0"/>
    </xf>
    <xf borderId="58" fillId="3" fontId="31" numFmtId="166" xfId="0" applyAlignment="1" applyBorder="1" applyFont="1" applyNumberFormat="1">
      <alignment readingOrder="0" shrinkToFit="0" wrapText="1"/>
    </xf>
    <xf borderId="54" fillId="0" fontId="31" numFmtId="0" xfId="0" applyAlignment="1" applyBorder="1" applyFont="1">
      <alignment readingOrder="0" shrinkToFit="0" wrapText="1"/>
    </xf>
    <xf borderId="107" fillId="10" fontId="28" numFmtId="0" xfId="0" applyAlignment="1" applyBorder="1" applyFont="1">
      <alignment readingOrder="0" shrinkToFit="0" wrapText="1"/>
    </xf>
    <xf borderId="112" fillId="10" fontId="4" numFmtId="0" xfId="0" applyBorder="1" applyFont="1"/>
    <xf borderId="58" fillId="10" fontId="31" numFmtId="166" xfId="0" applyAlignment="1" applyBorder="1" applyFont="1" applyNumberFormat="1">
      <alignment readingOrder="0" shrinkToFit="0" wrapText="1"/>
    </xf>
    <xf borderId="54" fillId="0" fontId="31" numFmtId="0" xfId="0" applyAlignment="1" applyBorder="1" applyFont="1">
      <alignment readingOrder="0" shrinkToFit="0" wrapText="0"/>
    </xf>
    <xf borderId="62" fillId="0" fontId="35" numFmtId="0" xfId="0" applyAlignment="1" applyBorder="1" applyFont="1">
      <alignment readingOrder="0" shrinkToFit="0" wrapText="1"/>
    </xf>
    <xf borderId="64" fillId="0" fontId="35" numFmtId="0" xfId="0" applyAlignment="1" applyBorder="1" applyFont="1">
      <alignment readingOrder="0" shrinkToFit="0" wrapText="1"/>
    </xf>
    <xf borderId="172" fillId="3" fontId="4" numFmtId="0" xfId="0" applyBorder="1" applyFont="1"/>
    <xf borderId="64" fillId="3" fontId="35" numFmtId="165" xfId="0" applyAlignment="1" applyBorder="1" applyFont="1" applyNumberFormat="1">
      <alignment readingOrder="0" shrinkToFit="0" wrapText="1"/>
    </xf>
    <xf borderId="122" fillId="16" fontId="3" numFmtId="0" xfId="0" applyAlignment="1" applyBorder="1" applyFont="1">
      <alignment horizontal="left" readingOrder="0" shrinkToFit="0" wrapText="1"/>
    </xf>
    <xf borderId="64" fillId="3" fontId="35" numFmtId="165" xfId="0" applyAlignment="1" applyBorder="1" applyFont="1" applyNumberFormat="1">
      <alignment readingOrder="0" shrinkToFit="0" wrapText="1"/>
    </xf>
    <xf borderId="171" fillId="0" fontId="3" numFmtId="0" xfId="0" applyAlignment="1" applyBorder="1" applyFont="1">
      <alignment readingOrder="0" shrinkToFit="0" wrapText="0"/>
    </xf>
    <xf borderId="173" fillId="0" fontId="53" numFmtId="0" xfId="0" applyAlignment="1" applyBorder="1" applyFont="1">
      <alignment readingOrder="0" shrinkToFit="0" wrapText="1"/>
    </xf>
    <xf borderId="173" fillId="0" fontId="3" numFmtId="0" xfId="0" applyAlignment="1" applyBorder="1" applyFont="1">
      <alignment readingOrder="0" shrinkToFit="0" wrapText="1"/>
    </xf>
    <xf borderId="173" fillId="0" fontId="2" numFmtId="0" xfId="0" applyAlignment="1" applyBorder="1" applyFont="1">
      <alignment readingOrder="0" shrinkToFit="0" wrapText="1"/>
    </xf>
    <xf borderId="173" fillId="0" fontId="4" numFmtId="0" xfId="0" applyAlignment="1" applyBorder="1" applyFont="1">
      <alignment shrinkToFit="0" wrapText="1"/>
    </xf>
    <xf borderId="173" fillId="0" fontId="2" numFmtId="0" xfId="0" applyAlignment="1" applyBorder="1" applyFont="1">
      <alignment shrinkToFit="0" wrapText="1"/>
    </xf>
    <xf borderId="170" fillId="0" fontId="2" numFmtId="0" xfId="0" applyAlignment="1" applyBorder="1" applyFont="1">
      <alignment shrinkToFit="0" wrapText="1"/>
    </xf>
    <xf borderId="45" fillId="0" fontId="9" numFmtId="0" xfId="0" applyAlignment="1" applyBorder="1" applyFont="1">
      <alignment readingOrder="0" shrinkToFit="0" wrapText="1"/>
    </xf>
    <xf borderId="46" fillId="0" fontId="13" numFmtId="0" xfId="0" applyAlignment="1" applyBorder="1" applyFont="1">
      <alignment readingOrder="0" shrinkToFit="0" wrapText="1"/>
    </xf>
    <xf borderId="47" fillId="0" fontId="13" numFmtId="0" xfId="0" applyAlignment="1" applyBorder="1" applyFont="1">
      <alignment readingOrder="0" shrinkToFit="0" wrapText="1"/>
    </xf>
    <xf borderId="57" fillId="0" fontId="11" numFmtId="0" xfId="0" applyAlignment="1" applyBorder="1" applyFont="1">
      <alignment readingOrder="0" shrinkToFit="0" wrapText="1"/>
    </xf>
    <xf borderId="57" fillId="0" fontId="10" numFmtId="3" xfId="0" applyAlignment="1" applyBorder="1" applyFont="1" applyNumberFormat="1">
      <alignment readingOrder="0" shrinkToFit="0" wrapText="1"/>
    </xf>
    <xf borderId="57" fillId="0" fontId="10" numFmtId="0" xfId="0" applyAlignment="1" applyBorder="1" applyFont="1">
      <alignment readingOrder="0" shrinkToFit="0" wrapText="1"/>
    </xf>
    <xf borderId="57" fillId="0" fontId="28" numFmtId="0" xfId="0" applyAlignment="1" applyBorder="1" applyFont="1">
      <alignment shrinkToFit="0" wrapText="1"/>
    </xf>
    <xf borderId="57" fillId="0" fontId="10" numFmtId="0" xfId="0" applyAlignment="1" applyBorder="1" applyFont="1">
      <alignment shrinkToFit="0" wrapText="1"/>
    </xf>
    <xf borderId="58" fillId="0" fontId="10" numFmtId="0" xfId="0" applyAlignment="1" applyBorder="1" applyFont="1">
      <alignment shrinkToFit="0" wrapText="1"/>
    </xf>
    <xf borderId="58" fillId="0" fontId="10" numFmtId="0" xfId="0" applyAlignment="1" applyBorder="1" applyFont="1">
      <alignment readingOrder="0" shrinkToFit="0" wrapText="1"/>
    </xf>
    <xf borderId="63" fillId="0" fontId="11" numFmtId="0" xfId="0" applyAlignment="1" applyBorder="1" applyFont="1">
      <alignment readingOrder="0" shrinkToFit="0" wrapText="1"/>
    </xf>
    <xf borderId="63" fillId="0" fontId="10" numFmtId="0" xfId="0" applyAlignment="1" applyBorder="1" applyFont="1">
      <alignment readingOrder="0" shrinkToFit="0" wrapText="1"/>
    </xf>
    <xf borderId="63" fillId="0" fontId="10" numFmtId="0" xfId="0" applyAlignment="1" applyBorder="1" applyFont="1">
      <alignment shrinkToFit="0" wrapText="1"/>
    </xf>
    <xf borderId="64" fillId="0" fontId="10" numFmtId="0" xfId="0" applyAlignment="1" applyBorder="1" applyFont="1">
      <alignment shrinkToFit="0" wrapText="1"/>
    </xf>
    <xf borderId="54" fillId="0" fontId="28" numFmtId="3" xfId="0" applyAlignment="1" applyBorder="1" applyFont="1" applyNumberFormat="1">
      <alignment readingOrder="0" shrinkToFit="0" wrapText="1"/>
    </xf>
    <xf borderId="57" fillId="0" fontId="10" numFmtId="3" xfId="0" applyAlignment="1" applyBorder="1" applyFont="1" applyNumberFormat="1">
      <alignment shrinkToFit="0" wrapText="1"/>
    </xf>
    <xf borderId="62" fillId="0" fontId="28" numFmtId="3" xfId="0" applyAlignment="1" applyBorder="1" applyFont="1" applyNumberFormat="1">
      <alignment readingOrder="0" shrinkToFit="0" wrapText="1"/>
    </xf>
    <xf borderId="64" fillId="0" fontId="10" numFmtId="3" xfId="0" applyAlignment="1" applyBorder="1" applyFont="1" applyNumberFormat="1">
      <alignment shrinkToFit="0" wrapText="1"/>
    </xf>
    <xf borderId="171" fillId="16" fontId="33" numFmtId="0" xfId="0" applyAlignment="1" applyBorder="1" applyFont="1">
      <alignment readingOrder="0" shrinkToFit="0" wrapText="1"/>
    </xf>
    <xf borderId="173" fillId="16" fontId="33" numFmtId="0" xfId="0" applyAlignment="1" applyBorder="1" applyFont="1">
      <alignment readingOrder="0" shrinkToFit="0" wrapText="1"/>
    </xf>
    <xf borderId="173" fillId="16" fontId="33" numFmtId="0" xfId="0" applyAlignment="1" applyBorder="1" applyFont="1">
      <alignment horizontal="center" readingOrder="0" shrinkToFit="0" wrapText="0"/>
    </xf>
    <xf borderId="174" fillId="16" fontId="33" numFmtId="0" xfId="0" applyAlignment="1" applyBorder="1" applyFont="1">
      <alignment readingOrder="0" shrinkToFit="0" wrapText="1"/>
    </xf>
    <xf borderId="57" fillId="3" fontId="10" numFmtId="165" xfId="0" applyAlignment="1" applyBorder="1" applyFont="1" applyNumberFormat="1">
      <alignment readingOrder="0" shrinkToFit="0" wrapText="1"/>
    </xf>
    <xf borderId="57" fillId="3" fontId="10" numFmtId="0" xfId="0" applyAlignment="1" applyBorder="1" applyFont="1">
      <alignment shrinkToFit="0" wrapText="1"/>
    </xf>
    <xf borderId="57" fillId="3" fontId="10" numFmtId="0" xfId="0" applyAlignment="1" applyBorder="1" applyFont="1">
      <alignment readingOrder="0" shrinkToFit="0" wrapText="0"/>
    </xf>
    <xf borderId="175" fillId="3" fontId="10" numFmtId="0" xfId="0" applyAlignment="1" applyBorder="1" applyFont="1">
      <alignment shrinkToFit="0" wrapText="1"/>
    </xf>
    <xf borderId="23" fillId="10" fontId="10" numFmtId="3" xfId="0" applyAlignment="1" applyBorder="1" applyFont="1" applyNumberFormat="1">
      <alignment readingOrder="0" shrinkToFit="0" wrapText="1"/>
    </xf>
    <xf borderId="24" fillId="10" fontId="10" numFmtId="0" xfId="0" applyAlignment="1" applyBorder="1" applyFont="1">
      <alignment readingOrder="0" shrinkToFit="0" wrapText="1"/>
    </xf>
    <xf borderId="24" fillId="10" fontId="10" numFmtId="165" xfId="0" applyAlignment="1" applyBorder="1" applyFont="1" applyNumberFormat="1">
      <alignment readingOrder="0" shrinkToFit="0" wrapText="1"/>
    </xf>
    <xf borderId="57" fillId="10" fontId="10" numFmtId="165" xfId="0" applyAlignment="1" applyBorder="1" applyFont="1" applyNumberFormat="1">
      <alignment readingOrder="0" shrinkToFit="0" wrapText="1"/>
    </xf>
    <xf borderId="57" fillId="10" fontId="10" numFmtId="0" xfId="0" applyAlignment="1" applyBorder="1" applyFont="1">
      <alignment shrinkToFit="0" wrapText="1"/>
    </xf>
    <xf borderId="24" fillId="10" fontId="10" numFmtId="0" xfId="0" applyAlignment="1" applyBorder="1" applyFont="1">
      <alignment readingOrder="0" shrinkToFit="0" wrapText="0"/>
    </xf>
    <xf borderId="57" fillId="10" fontId="10" numFmtId="0" xfId="0" applyAlignment="1" applyBorder="1" applyFont="1">
      <alignment readingOrder="0" shrinkToFit="0" wrapText="0"/>
    </xf>
    <xf borderId="175" fillId="10" fontId="10" numFmtId="0" xfId="0" applyAlignment="1" applyBorder="1" applyFont="1">
      <alignment shrinkToFit="0" wrapText="1"/>
    </xf>
    <xf borderId="27" fillId="10" fontId="4" numFmtId="0" xfId="0" applyBorder="1" applyFont="1"/>
    <xf borderId="54" fillId="3" fontId="10" numFmtId="3" xfId="0" applyAlignment="1" applyBorder="1" applyFont="1" applyNumberFormat="1">
      <alignment readingOrder="0" shrinkToFit="0" wrapText="1"/>
    </xf>
    <xf borderId="57" fillId="3" fontId="10" numFmtId="0" xfId="0" applyAlignment="1" applyBorder="1" applyFont="1">
      <alignment readingOrder="0" shrinkToFit="0" wrapText="1"/>
    </xf>
    <xf borderId="54" fillId="10" fontId="36" numFmtId="3" xfId="0" applyAlignment="1" applyBorder="1" applyFont="1" applyNumberFormat="1">
      <alignment readingOrder="0" shrinkToFit="0" wrapText="1"/>
    </xf>
    <xf borderId="57" fillId="10" fontId="36" numFmtId="0" xfId="0" applyAlignment="1" applyBorder="1" applyFont="1">
      <alignment readingOrder="0" shrinkToFit="0" wrapText="1"/>
    </xf>
    <xf borderId="57" fillId="10" fontId="10" numFmtId="0" xfId="0" applyAlignment="1" applyBorder="1" applyFont="1">
      <alignment shrinkToFit="0" wrapText="0"/>
    </xf>
    <xf borderId="54" fillId="10" fontId="10" numFmtId="3" xfId="0" applyAlignment="1" applyBorder="1" applyFont="1" applyNumberFormat="1">
      <alignment readingOrder="0" shrinkToFit="0" wrapText="1"/>
    </xf>
    <xf borderId="57" fillId="10" fontId="10" numFmtId="0" xfId="0" applyAlignment="1" applyBorder="1" applyFont="1">
      <alignment readingOrder="0" shrinkToFit="0" wrapText="1"/>
    </xf>
    <xf borderId="57" fillId="10" fontId="10" numFmtId="165" xfId="0" applyAlignment="1" applyBorder="1" applyFont="1" applyNumberFormat="1">
      <alignment shrinkToFit="0" wrapText="1"/>
    </xf>
    <xf borderId="57" fillId="3" fontId="10" numFmtId="165" xfId="0" applyAlignment="1" applyBorder="1" applyFont="1" applyNumberFormat="1">
      <alignment shrinkToFit="0" wrapText="1"/>
    </xf>
    <xf borderId="54" fillId="10" fontId="11" numFmtId="3" xfId="0" applyAlignment="1" applyBorder="1" applyFont="1" applyNumberFormat="1">
      <alignment readingOrder="0" shrinkToFit="0" wrapText="1"/>
    </xf>
    <xf borderId="57" fillId="10" fontId="11" numFmtId="0" xfId="0" applyAlignment="1" applyBorder="1" applyFont="1">
      <alignment readingOrder="0" shrinkToFit="0" wrapText="1"/>
    </xf>
    <xf borderId="57" fillId="3" fontId="10" numFmtId="0" xfId="0" applyAlignment="1" applyBorder="1" applyFont="1">
      <alignment shrinkToFit="0" wrapText="0"/>
    </xf>
    <xf borderId="175" fillId="10" fontId="10" numFmtId="0" xfId="0" applyAlignment="1" applyBorder="1" applyFont="1">
      <alignment readingOrder="0" shrinkToFit="0" wrapText="1"/>
    </xf>
    <xf borderId="54" fillId="3" fontId="11" numFmtId="3" xfId="0" applyAlignment="1" applyBorder="1" applyFont="1" applyNumberFormat="1">
      <alignment readingOrder="0" shrinkToFit="0" wrapText="1"/>
    </xf>
    <xf borderId="57" fillId="3" fontId="11" numFmtId="0" xfId="0" applyAlignment="1" applyBorder="1" applyFont="1">
      <alignment readingOrder="0" shrinkToFit="0" wrapText="1"/>
    </xf>
    <xf borderId="175" fillId="3" fontId="10" numFmtId="0" xfId="0" applyAlignment="1" applyBorder="1" applyFont="1">
      <alignment readingOrder="0" shrinkToFit="0" wrapText="1"/>
    </xf>
    <xf borderId="57" fillId="3" fontId="36" numFmtId="0" xfId="0" applyAlignment="1" applyBorder="1" applyFont="1">
      <alignment readingOrder="0" shrinkToFit="0" wrapText="1"/>
    </xf>
    <xf borderId="54" fillId="3" fontId="36" numFmtId="3" xfId="0" applyAlignment="1" applyBorder="1" applyFont="1" applyNumberFormat="1">
      <alignment readingOrder="0" shrinkToFit="0" wrapText="1"/>
    </xf>
    <xf borderId="0" fillId="3" fontId="59" numFmtId="0" xfId="0" applyAlignment="1" applyFont="1">
      <alignment horizontal="left" readingOrder="0"/>
    </xf>
    <xf borderId="27" fillId="3" fontId="10" numFmtId="0" xfId="0" applyAlignment="1" applyBorder="1" applyFont="1">
      <alignment shrinkToFit="0" wrapText="1"/>
    </xf>
    <xf borderId="132" fillId="3" fontId="10" numFmtId="3" xfId="0" applyAlignment="1" applyBorder="1" applyFont="1" applyNumberFormat="1">
      <alignment horizontal="right" shrinkToFit="0" wrapText="1"/>
    </xf>
    <xf borderId="112" fillId="3" fontId="36" numFmtId="0" xfId="0" applyAlignment="1" applyBorder="1" applyFont="1">
      <alignment readingOrder="0" shrinkToFit="0" wrapText="1"/>
    </xf>
    <xf borderId="112" fillId="3" fontId="10" numFmtId="165" xfId="0" applyAlignment="1" applyBorder="1" applyFont="1" applyNumberFormat="1">
      <alignment horizontal="right" shrinkToFit="0" wrapText="1"/>
    </xf>
    <xf borderId="112" fillId="3" fontId="38" numFmtId="0" xfId="0" applyBorder="1" applyFont="1"/>
    <xf borderId="112" fillId="3" fontId="10" numFmtId="0" xfId="0" applyAlignment="1" applyBorder="1" applyFont="1">
      <alignment readingOrder="0" shrinkToFit="0" wrapText="0"/>
    </xf>
    <xf borderId="112" fillId="3" fontId="38" numFmtId="0" xfId="0" applyAlignment="1" applyBorder="1" applyFont="1">
      <alignment readingOrder="0"/>
    </xf>
    <xf borderId="54" fillId="10" fontId="10" numFmtId="3" xfId="0" applyAlignment="1" applyBorder="1" applyFont="1" applyNumberFormat="1">
      <alignment shrinkToFit="0" wrapText="1"/>
    </xf>
    <xf borderId="54" fillId="3" fontId="10" numFmtId="3" xfId="0" applyAlignment="1" applyBorder="1" applyFont="1" applyNumberFormat="1">
      <alignment shrinkToFit="0" wrapText="1"/>
    </xf>
    <xf borderId="62" fillId="10" fontId="10" numFmtId="3" xfId="0" applyAlignment="1" applyBorder="1" applyFont="1" applyNumberFormat="1">
      <alignment shrinkToFit="0" wrapText="1"/>
    </xf>
    <xf borderId="63" fillId="10" fontId="10" numFmtId="0" xfId="0" applyAlignment="1" applyBorder="1" applyFont="1">
      <alignment shrinkToFit="0" wrapText="1"/>
    </xf>
    <xf borderId="63" fillId="10" fontId="10" numFmtId="165" xfId="0" applyAlignment="1" applyBorder="1" applyFont="1" applyNumberFormat="1">
      <alignment shrinkToFit="0" wrapText="1"/>
    </xf>
    <xf borderId="63" fillId="10" fontId="10" numFmtId="165" xfId="0" applyAlignment="1" applyBorder="1" applyFont="1" applyNumberFormat="1">
      <alignment readingOrder="0" shrinkToFit="0" wrapText="1"/>
    </xf>
    <xf borderId="63" fillId="10" fontId="10" numFmtId="0" xfId="0" applyAlignment="1" applyBorder="1" applyFont="1">
      <alignment readingOrder="0" shrinkToFit="0" wrapText="0"/>
    </xf>
    <xf borderId="63" fillId="10" fontId="10" numFmtId="0" xfId="0" applyAlignment="1" applyBorder="1" applyFont="1">
      <alignment shrinkToFit="0" wrapText="0"/>
    </xf>
    <xf borderId="176" fillId="10" fontId="10" numFmtId="0" xfId="0" applyAlignment="1" applyBorder="1" applyFont="1">
      <alignment shrinkToFit="0" wrapText="1"/>
    </xf>
    <xf borderId="4" fillId="10" fontId="4" numFmtId="0" xfId="0" applyBorder="1" applyFont="1"/>
    <xf borderId="111" fillId="10" fontId="4" numFmtId="0" xfId="0" applyBorder="1" applyFont="1"/>
    <xf borderId="0" fillId="0" fontId="5" numFmtId="0" xfId="0" applyAlignment="1" applyFont="1">
      <alignment shrinkToFit="0" wrapText="0"/>
    </xf>
    <xf borderId="0" fillId="3" fontId="30" numFmtId="0" xfId="0" applyAlignment="1" applyFont="1">
      <alignment shrinkToFit="0" wrapText="0"/>
    </xf>
    <xf borderId="8" fillId="18" fontId="3" numFmtId="0" xfId="0" applyAlignment="1" applyBorder="1" applyFont="1">
      <alignment readingOrder="0" shrinkToFit="0" wrapText="1"/>
    </xf>
    <xf borderId="177" fillId="19" fontId="4" numFmtId="0" xfId="0" applyBorder="1" applyFont="1"/>
    <xf borderId="178" fillId="18" fontId="44" numFmtId="0" xfId="0" applyAlignment="1" applyBorder="1" applyFont="1">
      <alignment readingOrder="0" shrinkToFit="0" wrapText="1"/>
    </xf>
    <xf borderId="179" fillId="18" fontId="3" numFmtId="0" xfId="0" applyAlignment="1" applyBorder="1" applyFont="1">
      <alignment readingOrder="0" shrinkToFit="0" wrapText="1"/>
    </xf>
    <xf borderId="180" fillId="3" fontId="31" numFmtId="166" xfId="0" applyAlignment="1" applyBorder="1" applyFont="1" applyNumberFormat="1">
      <alignment readingOrder="0" shrinkToFit="0" wrapText="1"/>
    </xf>
    <xf borderId="115" fillId="0" fontId="31" numFmtId="0" xfId="0" applyAlignment="1" applyBorder="1" applyFont="1">
      <alignment readingOrder="0" shrinkToFit="0" wrapText="1"/>
    </xf>
    <xf borderId="180" fillId="0" fontId="31" numFmtId="3" xfId="0" applyAlignment="1" applyBorder="1" applyFont="1" applyNumberFormat="1">
      <alignment readingOrder="0" shrinkToFit="0" wrapText="1"/>
    </xf>
    <xf borderId="107" fillId="12" fontId="28" numFmtId="0" xfId="0" applyAlignment="1" applyBorder="1" applyFont="1">
      <alignment readingOrder="0" shrinkToFit="0" wrapText="1"/>
    </xf>
    <xf borderId="112" fillId="12" fontId="4" numFmtId="0" xfId="0" applyBorder="1" applyFont="1"/>
    <xf borderId="180" fillId="12" fontId="31" numFmtId="166" xfId="0" applyAlignment="1" applyBorder="1" applyFont="1" applyNumberFormat="1">
      <alignment readingOrder="0" shrinkToFit="0" wrapText="1"/>
    </xf>
    <xf borderId="115" fillId="0" fontId="31" numFmtId="0" xfId="0" applyAlignment="1" applyBorder="1" applyFont="1">
      <alignment readingOrder="0" shrinkToFit="0" wrapText="0"/>
    </xf>
    <xf borderId="181" fillId="0" fontId="35" numFmtId="0" xfId="0" applyAlignment="1" applyBorder="1" applyFont="1">
      <alignment readingOrder="0" shrinkToFit="0" wrapText="1"/>
    </xf>
    <xf borderId="182" fillId="0" fontId="35" numFmtId="0" xfId="0" applyAlignment="1" applyBorder="1" applyFont="1">
      <alignment readingOrder="0" shrinkToFit="0" wrapText="1"/>
    </xf>
    <xf borderId="183" fillId="3" fontId="4" numFmtId="0" xfId="0" applyBorder="1" applyFont="1"/>
    <xf borderId="182" fillId="3" fontId="35" numFmtId="165" xfId="0" applyAlignment="1" applyBorder="1" applyFont="1" applyNumberFormat="1">
      <alignment readingOrder="0" shrinkToFit="0" wrapText="1"/>
    </xf>
    <xf borderId="122" fillId="18" fontId="3" numFmtId="0" xfId="0" applyAlignment="1" applyBorder="1" applyFont="1">
      <alignment horizontal="left" readingOrder="0" shrinkToFit="0" wrapText="1"/>
    </xf>
    <xf borderId="182" fillId="3" fontId="35" numFmtId="165" xfId="0" applyAlignment="1" applyBorder="1" applyFont="1" applyNumberFormat="1">
      <alignment readingOrder="0" shrinkToFit="0" wrapText="1"/>
    </xf>
    <xf borderId="179" fillId="18" fontId="3" numFmtId="0" xfId="0" applyAlignment="1" applyBorder="1" applyFont="1">
      <alignment readingOrder="0" shrinkToFit="0" wrapText="0"/>
    </xf>
    <xf borderId="184" fillId="18" fontId="53" numFmtId="0" xfId="0" applyAlignment="1" applyBorder="1" applyFont="1">
      <alignment readingOrder="0" shrinkToFit="0" wrapText="1"/>
    </xf>
    <xf borderId="184" fillId="18" fontId="3" numFmtId="0" xfId="0" applyAlignment="1" applyBorder="1" applyFont="1">
      <alignment readingOrder="0" shrinkToFit="0" wrapText="1"/>
    </xf>
    <xf borderId="184" fillId="18" fontId="2" numFmtId="0" xfId="0" applyAlignment="1" applyBorder="1" applyFont="1">
      <alignment readingOrder="0" shrinkToFit="0" wrapText="1"/>
    </xf>
    <xf borderId="184" fillId="18" fontId="4" numFmtId="0" xfId="0" applyAlignment="1" applyBorder="1" applyFont="1">
      <alignment shrinkToFit="0" wrapText="1"/>
    </xf>
    <xf borderId="184" fillId="18" fontId="2" numFmtId="0" xfId="0" applyAlignment="1" applyBorder="1" applyFont="1">
      <alignment shrinkToFit="0" wrapText="1"/>
    </xf>
    <xf borderId="178" fillId="18" fontId="2" numFmtId="0" xfId="0" applyAlignment="1" applyBorder="1" applyFont="1">
      <alignment shrinkToFit="0" wrapText="1"/>
    </xf>
    <xf borderId="185" fillId="0" fontId="9" numFmtId="0" xfId="0" applyAlignment="1" applyBorder="1" applyFont="1">
      <alignment readingOrder="0" shrinkToFit="0" wrapText="1"/>
    </xf>
    <xf borderId="186" fillId="0" fontId="13" numFmtId="0" xfId="0" applyAlignment="1" applyBorder="1" applyFont="1">
      <alignment readingOrder="0" shrinkToFit="0" wrapText="1"/>
    </xf>
    <xf borderId="187" fillId="0" fontId="13" numFmtId="0" xfId="0" applyAlignment="1" applyBorder="1" applyFont="1">
      <alignment readingOrder="0" shrinkToFit="0" wrapText="1"/>
    </xf>
    <xf borderId="117" fillId="0" fontId="11" numFmtId="0" xfId="0" applyAlignment="1" applyBorder="1" applyFont="1">
      <alignment readingOrder="0" shrinkToFit="0" wrapText="1"/>
    </xf>
    <xf borderId="117" fillId="0" fontId="10" numFmtId="3" xfId="0" applyAlignment="1" applyBorder="1" applyFont="1" applyNumberFormat="1">
      <alignment readingOrder="0" shrinkToFit="0" wrapText="1"/>
    </xf>
    <xf borderId="117" fillId="0" fontId="10" numFmtId="0" xfId="0" applyAlignment="1" applyBorder="1" applyFont="1">
      <alignment readingOrder="0" shrinkToFit="0" wrapText="1"/>
    </xf>
    <xf borderId="117" fillId="0" fontId="28" numFmtId="0" xfId="0" applyAlignment="1" applyBorder="1" applyFont="1">
      <alignment shrinkToFit="0" wrapText="1"/>
    </xf>
    <xf borderId="117" fillId="0" fontId="10" numFmtId="0" xfId="0" applyAlignment="1" applyBorder="1" applyFont="1">
      <alignment shrinkToFit="0" wrapText="1"/>
    </xf>
    <xf borderId="180" fillId="0" fontId="10" numFmtId="0" xfId="0" applyAlignment="1" applyBorder="1" applyFont="1">
      <alignment shrinkToFit="0" wrapText="1"/>
    </xf>
    <xf borderId="180" fillId="0" fontId="10" numFmtId="0" xfId="0" applyAlignment="1" applyBorder="1" applyFont="1">
      <alignment readingOrder="0" shrinkToFit="0" wrapText="1"/>
    </xf>
    <xf borderId="188" fillId="0" fontId="11" numFmtId="0" xfId="0" applyAlignment="1" applyBorder="1" applyFont="1">
      <alignment readingOrder="0" shrinkToFit="0" wrapText="1"/>
    </xf>
    <xf borderId="188" fillId="0" fontId="10" numFmtId="0" xfId="0" applyAlignment="1" applyBorder="1" applyFont="1">
      <alignment readingOrder="0" shrinkToFit="0" wrapText="1"/>
    </xf>
    <xf borderId="188" fillId="0" fontId="10" numFmtId="0" xfId="0" applyAlignment="1" applyBorder="1" applyFont="1">
      <alignment shrinkToFit="0" wrapText="1"/>
    </xf>
    <xf borderId="182" fillId="0" fontId="10" numFmtId="0" xfId="0" applyAlignment="1" applyBorder="1" applyFont="1">
      <alignment shrinkToFit="0" wrapText="1"/>
    </xf>
    <xf borderId="115" fillId="0" fontId="28" numFmtId="3" xfId="0" applyAlignment="1" applyBorder="1" applyFont="1" applyNumberFormat="1">
      <alignment readingOrder="0" shrinkToFit="0" wrapText="1"/>
    </xf>
    <xf borderId="117" fillId="0" fontId="10" numFmtId="3" xfId="0" applyAlignment="1" applyBorder="1" applyFont="1" applyNumberFormat="1">
      <alignment shrinkToFit="0" wrapText="1"/>
    </xf>
    <xf borderId="181" fillId="0" fontId="28" numFmtId="3" xfId="0" applyAlignment="1" applyBorder="1" applyFont="1" applyNumberFormat="1">
      <alignment readingOrder="0" shrinkToFit="0" wrapText="1"/>
    </xf>
    <xf borderId="182" fillId="0" fontId="10" numFmtId="3" xfId="0" applyAlignment="1" applyBorder="1" applyFont="1" applyNumberFormat="1">
      <alignment shrinkToFit="0" wrapText="1"/>
    </xf>
    <xf borderId="179" fillId="18" fontId="33" numFmtId="0" xfId="0" applyAlignment="1" applyBorder="1" applyFont="1">
      <alignment readingOrder="0" shrinkToFit="0" wrapText="1"/>
    </xf>
    <xf borderId="184" fillId="18" fontId="33" numFmtId="0" xfId="0" applyAlignment="1" applyBorder="1" applyFont="1">
      <alignment readingOrder="0" shrinkToFit="0" wrapText="1"/>
    </xf>
    <xf borderId="184" fillId="18" fontId="33" numFmtId="0" xfId="0" applyAlignment="1" applyBorder="1" applyFont="1">
      <alignment horizontal="center" readingOrder="0" shrinkToFit="0" wrapText="0"/>
    </xf>
    <xf borderId="189" fillId="18" fontId="33" numFmtId="0" xfId="0" applyAlignment="1" applyBorder="1" applyFont="1">
      <alignment readingOrder="0" shrinkToFit="0" wrapText="1"/>
    </xf>
    <xf borderId="117" fillId="3" fontId="10" numFmtId="0" xfId="0" applyAlignment="1" applyBorder="1" applyFont="1">
      <alignment shrinkToFit="0" wrapText="1"/>
    </xf>
    <xf borderId="117" fillId="3" fontId="10" numFmtId="0" xfId="0" applyAlignment="1" applyBorder="1" applyFont="1">
      <alignment shrinkToFit="0" wrapText="0"/>
    </xf>
    <xf borderId="190" fillId="3" fontId="10" numFmtId="0" xfId="0" applyAlignment="1" applyBorder="1" applyFont="1">
      <alignment shrinkToFit="0" wrapText="1"/>
    </xf>
    <xf borderId="23" fillId="12" fontId="10" numFmtId="3" xfId="0" applyAlignment="1" applyBorder="1" applyFont="1" applyNumberFormat="1">
      <alignment readingOrder="0" shrinkToFit="0" wrapText="1"/>
    </xf>
    <xf borderId="24" fillId="12" fontId="10" numFmtId="0" xfId="0" applyAlignment="1" applyBorder="1" applyFont="1">
      <alignment readingOrder="0" shrinkToFit="0" wrapText="1"/>
    </xf>
    <xf borderId="24" fillId="12" fontId="10" numFmtId="165" xfId="0" applyAlignment="1" applyBorder="1" applyFont="1" applyNumberFormat="1">
      <alignment readingOrder="0" shrinkToFit="0" wrapText="1"/>
    </xf>
    <xf borderId="117" fillId="12" fontId="10" numFmtId="165" xfId="0" applyAlignment="1" applyBorder="1" applyFont="1" applyNumberFormat="1">
      <alignment readingOrder="0" shrinkToFit="0" wrapText="1"/>
    </xf>
    <xf borderId="117" fillId="12" fontId="10" numFmtId="0" xfId="0" applyAlignment="1" applyBorder="1" applyFont="1">
      <alignment shrinkToFit="0" wrapText="1"/>
    </xf>
    <xf borderId="24" fillId="12" fontId="10" numFmtId="0" xfId="0" applyAlignment="1" applyBorder="1" applyFont="1">
      <alignment readingOrder="0" shrinkToFit="0" wrapText="0"/>
    </xf>
    <xf borderId="117" fillId="12" fontId="10" numFmtId="0" xfId="0" applyAlignment="1" applyBorder="1" applyFont="1">
      <alignment readingOrder="0" shrinkToFit="0" wrapText="0"/>
    </xf>
    <xf borderId="190" fillId="12" fontId="10" numFmtId="0" xfId="0" applyAlignment="1" applyBorder="1" applyFont="1">
      <alignment shrinkToFit="0" wrapText="1"/>
    </xf>
    <xf borderId="27" fillId="12" fontId="4" numFmtId="0" xfId="0" applyBorder="1" applyFont="1"/>
    <xf borderId="117" fillId="3" fontId="10" numFmtId="0" xfId="0" applyAlignment="1" applyBorder="1" applyFont="1">
      <alignment readingOrder="0" shrinkToFit="0" wrapText="1"/>
    </xf>
    <xf borderId="117" fillId="3" fontId="10" numFmtId="0" xfId="0" applyAlignment="1" applyBorder="1" applyFont="1">
      <alignment readingOrder="0" shrinkToFit="0" wrapText="0"/>
    </xf>
    <xf borderId="115" fillId="12" fontId="10" numFmtId="3" xfId="0" applyAlignment="1" applyBorder="1" applyFont="1" applyNumberFormat="1">
      <alignment readingOrder="0" shrinkToFit="0" wrapText="1"/>
    </xf>
    <xf borderId="117" fillId="12" fontId="10" numFmtId="0" xfId="0" applyAlignment="1" applyBorder="1" applyFont="1">
      <alignment readingOrder="0" shrinkToFit="0" wrapText="1"/>
    </xf>
    <xf borderId="190" fillId="12" fontId="10" numFmtId="0" xfId="0" applyAlignment="1" applyBorder="1" applyFont="1">
      <alignment readingOrder="0" shrinkToFit="0" wrapText="1"/>
    </xf>
    <xf borderId="117" fillId="3" fontId="10" numFmtId="165" xfId="0" applyAlignment="1" applyBorder="1" applyFont="1" applyNumberFormat="1">
      <alignment shrinkToFit="0" wrapText="1"/>
    </xf>
    <xf borderId="0" fillId="3" fontId="31" numFmtId="0" xfId="0" applyAlignment="1" applyFont="1">
      <alignment horizontal="left" readingOrder="0" shrinkToFit="0" wrapText="1"/>
    </xf>
    <xf borderId="190" fillId="3" fontId="10" numFmtId="0" xfId="0" applyAlignment="1" applyBorder="1" applyFont="1">
      <alignment readingOrder="0" shrinkToFit="0" wrapText="1"/>
    </xf>
    <xf borderId="117" fillId="12" fontId="10" numFmtId="0" xfId="0" applyAlignment="1" applyBorder="1" applyFont="1">
      <alignment shrinkToFit="0" wrapText="0"/>
    </xf>
    <xf borderId="0" fillId="3" fontId="60" numFmtId="0" xfId="0" applyAlignment="1" applyFont="1">
      <alignment readingOrder="0"/>
    </xf>
    <xf borderId="0" fillId="3" fontId="4" numFmtId="0" xfId="0" applyAlignment="1" applyFont="1">
      <alignment readingOrder="0"/>
    </xf>
    <xf borderId="27" fillId="3" fontId="10" numFmtId="0" xfId="0" applyAlignment="1" applyBorder="1" applyFont="1">
      <alignment readingOrder="0" shrinkToFit="0" wrapText="1"/>
    </xf>
    <xf borderId="0" fillId="3" fontId="31" numFmtId="0" xfId="0" applyAlignment="1" applyFont="1">
      <alignment horizontal="left" readingOrder="0"/>
    </xf>
    <xf borderId="115" fillId="3" fontId="10" numFmtId="3" xfId="0" applyAlignment="1" applyBorder="1" applyFont="1" applyNumberFormat="1">
      <alignment shrinkToFit="0" wrapText="1"/>
    </xf>
    <xf borderId="115" fillId="12" fontId="10" numFmtId="3" xfId="0" applyAlignment="1" applyBorder="1" applyFont="1" applyNumberFormat="1">
      <alignment shrinkToFit="0" wrapText="1"/>
    </xf>
    <xf borderId="117" fillId="12" fontId="10" numFmtId="165" xfId="0" applyAlignment="1" applyBorder="1" applyFont="1" applyNumberFormat="1">
      <alignment shrinkToFit="0" wrapText="1"/>
    </xf>
    <xf borderId="181" fillId="12" fontId="10" numFmtId="3" xfId="0" applyAlignment="1" applyBorder="1" applyFont="1" applyNumberFormat="1">
      <alignment shrinkToFit="0" wrapText="1"/>
    </xf>
    <xf borderId="188" fillId="12" fontId="10" numFmtId="0" xfId="0" applyAlignment="1" applyBorder="1" applyFont="1">
      <alignment shrinkToFit="0" wrapText="1"/>
    </xf>
    <xf borderId="188" fillId="12" fontId="10" numFmtId="165" xfId="0" applyAlignment="1" applyBorder="1" applyFont="1" applyNumberFormat="1">
      <alignment shrinkToFit="0" wrapText="1"/>
    </xf>
    <xf borderId="188" fillId="12" fontId="10" numFmtId="165" xfId="0" applyAlignment="1" applyBorder="1" applyFont="1" applyNumberFormat="1">
      <alignment readingOrder="0" shrinkToFit="0" wrapText="1"/>
    </xf>
    <xf borderId="188" fillId="12" fontId="10" numFmtId="0" xfId="0" applyAlignment="1" applyBorder="1" applyFont="1">
      <alignment readingOrder="0" shrinkToFit="0" wrapText="0"/>
    </xf>
    <xf borderId="188" fillId="12" fontId="10" numFmtId="0" xfId="0" applyAlignment="1" applyBorder="1" applyFont="1">
      <alignment shrinkToFit="0" wrapText="0"/>
    </xf>
    <xf borderId="191" fillId="12" fontId="10" numFmtId="0" xfId="0" applyAlignment="1" applyBorder="1" applyFont="1">
      <alignment shrinkToFit="0" wrapText="1"/>
    </xf>
    <xf borderId="4" fillId="12" fontId="4" numFmtId="0" xfId="0" applyBorder="1" applyFont="1"/>
    <xf borderId="111" fillId="12" fontId="4" numFmtId="0" xfId="0" applyBorder="1" applyFont="1"/>
    <xf borderId="8" fillId="20" fontId="3" numFmtId="0" xfId="0" applyAlignment="1" applyBorder="1" applyFont="1">
      <alignment readingOrder="0" shrinkToFit="0" wrapText="1"/>
    </xf>
    <xf borderId="192" fillId="20" fontId="4" numFmtId="0" xfId="0" applyBorder="1" applyFont="1"/>
    <xf borderId="193" fillId="20" fontId="44" numFmtId="0" xfId="0" applyAlignment="1" applyBorder="1" applyFont="1">
      <alignment readingOrder="0" shrinkToFit="0" wrapText="1"/>
    </xf>
    <xf borderId="194" fillId="0" fontId="3" numFmtId="0" xfId="0" applyAlignment="1" applyBorder="1" applyFont="1">
      <alignment readingOrder="0" shrinkToFit="0" wrapText="1"/>
    </xf>
    <xf borderId="193" fillId="0" fontId="44" numFmtId="0" xfId="0" applyAlignment="1" applyBorder="1" applyFont="1">
      <alignment readingOrder="0" shrinkToFit="0" wrapText="1"/>
    </xf>
    <xf borderId="83" fillId="3" fontId="31" numFmtId="166" xfId="0" applyAlignment="1" applyBorder="1" applyFont="1" applyNumberFormat="1">
      <alignment readingOrder="0" shrinkToFit="0" wrapText="1"/>
    </xf>
    <xf borderId="79" fillId="0" fontId="31" numFmtId="0" xfId="0" applyAlignment="1" applyBorder="1" applyFont="1">
      <alignment readingOrder="0" shrinkToFit="0" wrapText="1"/>
    </xf>
    <xf borderId="83" fillId="0" fontId="31" numFmtId="3" xfId="0" applyAlignment="1" applyBorder="1" applyFont="1" applyNumberFormat="1">
      <alignment readingOrder="0" shrinkToFit="0" wrapText="1"/>
    </xf>
    <xf borderId="107" fillId="13" fontId="28" numFmtId="0" xfId="0" applyAlignment="1" applyBorder="1" applyFont="1">
      <alignment readingOrder="0" shrinkToFit="0" wrapText="1"/>
    </xf>
    <xf borderId="112" fillId="13" fontId="4" numFmtId="0" xfId="0" applyBorder="1" applyFont="1"/>
    <xf borderId="83" fillId="13" fontId="31" numFmtId="166" xfId="0" applyAlignment="1" applyBorder="1" applyFont="1" applyNumberFormat="1">
      <alignment readingOrder="0" shrinkToFit="0" wrapText="1"/>
    </xf>
    <xf borderId="79" fillId="0" fontId="31" numFmtId="0" xfId="0" applyAlignment="1" applyBorder="1" applyFont="1">
      <alignment readingOrder="0" shrinkToFit="0" wrapText="0"/>
    </xf>
    <xf borderId="88" fillId="0" fontId="35" numFmtId="0" xfId="0" applyAlignment="1" applyBorder="1" applyFont="1">
      <alignment readingOrder="0" shrinkToFit="0" wrapText="1"/>
    </xf>
    <xf borderId="90" fillId="0" fontId="35" numFmtId="0" xfId="0" applyAlignment="1" applyBorder="1" applyFont="1">
      <alignment readingOrder="0" shrinkToFit="0" wrapText="1"/>
    </xf>
    <xf borderId="195" fillId="3" fontId="4" numFmtId="0" xfId="0" applyBorder="1" applyFont="1"/>
    <xf borderId="90" fillId="3" fontId="35" numFmtId="165" xfId="0" applyAlignment="1" applyBorder="1" applyFont="1" applyNumberFormat="1">
      <alignment readingOrder="0" shrinkToFit="0" wrapText="1"/>
    </xf>
    <xf borderId="122" fillId="20" fontId="3" numFmtId="0" xfId="0" applyAlignment="1" applyBorder="1" applyFont="1">
      <alignment horizontal="left" readingOrder="0" shrinkToFit="0" wrapText="1"/>
    </xf>
    <xf borderId="90" fillId="3" fontId="35" numFmtId="165" xfId="0" applyAlignment="1" applyBorder="1" applyFont="1" applyNumberFormat="1">
      <alignment readingOrder="0" shrinkToFit="0" wrapText="1"/>
    </xf>
    <xf borderId="194" fillId="0" fontId="3" numFmtId="0" xfId="0" applyAlignment="1" applyBorder="1" applyFont="1">
      <alignment readingOrder="0" shrinkToFit="0" wrapText="0"/>
    </xf>
    <xf borderId="196" fillId="0" fontId="53" numFmtId="0" xfId="0" applyAlignment="1" applyBorder="1" applyFont="1">
      <alignment readingOrder="0" shrinkToFit="0" wrapText="1"/>
    </xf>
    <xf borderId="196" fillId="0" fontId="3" numFmtId="0" xfId="0" applyAlignment="1" applyBorder="1" applyFont="1">
      <alignment readingOrder="0" shrinkToFit="0" wrapText="1"/>
    </xf>
    <xf borderId="196" fillId="0" fontId="2" numFmtId="0" xfId="0" applyAlignment="1" applyBorder="1" applyFont="1">
      <alignment readingOrder="0" shrinkToFit="0" wrapText="1"/>
    </xf>
    <xf borderId="196" fillId="0" fontId="4" numFmtId="0" xfId="0" applyAlignment="1" applyBorder="1" applyFont="1">
      <alignment shrinkToFit="0" wrapText="1"/>
    </xf>
    <xf borderId="196" fillId="0" fontId="2" numFmtId="0" xfId="0" applyAlignment="1" applyBorder="1" applyFont="1">
      <alignment shrinkToFit="0" wrapText="1"/>
    </xf>
    <xf borderId="193" fillId="0" fontId="2" numFmtId="0" xfId="0" applyAlignment="1" applyBorder="1" applyFont="1">
      <alignment shrinkToFit="0" wrapText="1"/>
    </xf>
    <xf borderId="70" fillId="0" fontId="9" numFmtId="0" xfId="0" applyAlignment="1" applyBorder="1" applyFont="1">
      <alignment readingOrder="0" shrinkToFit="0" wrapText="1"/>
    </xf>
    <xf borderId="71" fillId="0" fontId="13" numFmtId="0" xfId="0" applyAlignment="1" applyBorder="1" applyFont="1">
      <alignment readingOrder="0" shrinkToFit="0" wrapText="1"/>
    </xf>
    <xf borderId="72" fillId="0" fontId="13" numFmtId="0" xfId="0" applyAlignment="1" applyBorder="1" applyFont="1">
      <alignment readingOrder="0" shrinkToFit="0" wrapText="1"/>
    </xf>
    <xf borderId="82" fillId="0" fontId="11" numFmtId="0" xfId="0" applyAlignment="1" applyBorder="1" applyFont="1">
      <alignment readingOrder="0" shrinkToFit="0" wrapText="1"/>
    </xf>
    <xf borderId="82" fillId="0" fontId="10" numFmtId="3" xfId="0" applyAlignment="1" applyBorder="1" applyFont="1" applyNumberFormat="1">
      <alignment readingOrder="0" shrinkToFit="0" wrapText="1"/>
    </xf>
    <xf borderId="82" fillId="0" fontId="10" numFmtId="0" xfId="0" applyAlignment="1" applyBorder="1" applyFont="1">
      <alignment readingOrder="0" shrinkToFit="0" wrapText="1"/>
    </xf>
    <xf borderId="82" fillId="0" fontId="28" numFmtId="0" xfId="0" applyAlignment="1" applyBorder="1" applyFont="1">
      <alignment shrinkToFit="0" wrapText="1"/>
    </xf>
    <xf borderId="82" fillId="0" fontId="10" numFmtId="0" xfId="0" applyAlignment="1" applyBorder="1" applyFont="1">
      <alignment shrinkToFit="0" wrapText="1"/>
    </xf>
    <xf borderId="83" fillId="0" fontId="10" numFmtId="0" xfId="0" applyAlignment="1" applyBorder="1" applyFont="1">
      <alignment shrinkToFit="0" wrapText="1"/>
    </xf>
    <xf borderId="83" fillId="0" fontId="10" numFmtId="0" xfId="0" applyAlignment="1" applyBorder="1" applyFont="1">
      <alignment readingOrder="0" shrinkToFit="0" wrapText="1"/>
    </xf>
    <xf borderId="89" fillId="0" fontId="11" numFmtId="0" xfId="0" applyAlignment="1" applyBorder="1" applyFont="1">
      <alignment readingOrder="0" shrinkToFit="0" wrapText="1"/>
    </xf>
    <xf borderId="89" fillId="0" fontId="10" numFmtId="0" xfId="0" applyAlignment="1" applyBorder="1" applyFont="1">
      <alignment readingOrder="0" shrinkToFit="0" wrapText="1"/>
    </xf>
    <xf borderId="89" fillId="0" fontId="10" numFmtId="0" xfId="0" applyAlignment="1" applyBorder="1" applyFont="1">
      <alignment shrinkToFit="0" wrapText="1"/>
    </xf>
    <xf borderId="90" fillId="0" fontId="10" numFmtId="0" xfId="0" applyAlignment="1" applyBorder="1" applyFont="1">
      <alignment shrinkToFit="0" wrapText="1"/>
    </xf>
    <xf borderId="79" fillId="0" fontId="28" numFmtId="3" xfId="0" applyAlignment="1" applyBorder="1" applyFont="1" applyNumberFormat="1">
      <alignment readingOrder="0" shrinkToFit="0" wrapText="1"/>
    </xf>
    <xf borderId="82" fillId="0" fontId="10" numFmtId="3" xfId="0" applyAlignment="1" applyBorder="1" applyFont="1" applyNumberFormat="1">
      <alignment shrinkToFit="0" wrapText="1"/>
    </xf>
    <xf borderId="88" fillId="0" fontId="28" numFmtId="3" xfId="0" applyAlignment="1" applyBorder="1" applyFont="1" applyNumberFormat="1">
      <alignment readingOrder="0" shrinkToFit="0" wrapText="1"/>
    </xf>
    <xf borderId="90" fillId="0" fontId="10" numFmtId="3" xfId="0" applyAlignment="1" applyBorder="1" applyFont="1" applyNumberFormat="1">
      <alignment shrinkToFit="0" wrapText="1"/>
    </xf>
    <xf borderId="194" fillId="20" fontId="33" numFmtId="0" xfId="0" applyAlignment="1" applyBorder="1" applyFont="1">
      <alignment readingOrder="0" shrinkToFit="0" wrapText="1"/>
    </xf>
    <xf borderId="196" fillId="20" fontId="33" numFmtId="0" xfId="0" applyAlignment="1" applyBorder="1" applyFont="1">
      <alignment readingOrder="0" shrinkToFit="0" wrapText="1"/>
    </xf>
    <xf borderId="196" fillId="20" fontId="33" numFmtId="0" xfId="0" applyAlignment="1" applyBorder="1" applyFont="1">
      <alignment horizontal="center" readingOrder="0" shrinkToFit="0" wrapText="0"/>
    </xf>
    <xf borderId="197" fillId="20" fontId="33" numFmtId="0" xfId="0" applyAlignment="1" applyBorder="1" applyFont="1">
      <alignment readingOrder="0" shrinkToFit="0" wrapText="1"/>
    </xf>
    <xf borderId="82" fillId="3" fontId="10" numFmtId="165" xfId="0" applyAlignment="1" applyBorder="1" applyFont="1" applyNumberFormat="1">
      <alignment readingOrder="0" shrinkToFit="0" wrapText="1"/>
    </xf>
    <xf borderId="82" fillId="3" fontId="10" numFmtId="0" xfId="0" applyAlignment="1" applyBorder="1" applyFont="1">
      <alignment shrinkToFit="0" wrapText="1"/>
    </xf>
    <xf borderId="82" fillId="3" fontId="10" numFmtId="0" xfId="0" applyAlignment="1" applyBorder="1" applyFont="1">
      <alignment shrinkToFit="0" wrapText="0"/>
    </xf>
    <xf borderId="198" fillId="3" fontId="10" numFmtId="0" xfId="0" applyAlignment="1" applyBorder="1" applyFont="1">
      <alignment shrinkToFit="0" wrapText="1"/>
    </xf>
    <xf borderId="23" fillId="13" fontId="10" numFmtId="3" xfId="0" applyAlignment="1" applyBorder="1" applyFont="1" applyNumberFormat="1">
      <alignment readingOrder="0" shrinkToFit="0" wrapText="1"/>
    </xf>
    <xf borderId="24" fillId="13" fontId="10" numFmtId="0" xfId="0" applyAlignment="1" applyBorder="1" applyFont="1">
      <alignment readingOrder="0" shrinkToFit="0" wrapText="1"/>
    </xf>
    <xf borderId="24" fillId="13" fontId="10" numFmtId="165" xfId="0" applyAlignment="1" applyBorder="1" applyFont="1" applyNumberFormat="1">
      <alignment readingOrder="0" shrinkToFit="0" wrapText="1"/>
    </xf>
    <xf borderId="82" fillId="13" fontId="10" numFmtId="165" xfId="0" applyAlignment="1" applyBorder="1" applyFont="1" applyNumberFormat="1">
      <alignment readingOrder="0" shrinkToFit="0" wrapText="1"/>
    </xf>
    <xf borderId="82" fillId="13" fontId="10" numFmtId="0" xfId="0" applyAlignment="1" applyBorder="1" applyFont="1">
      <alignment shrinkToFit="0" wrapText="1"/>
    </xf>
    <xf borderId="24" fillId="13" fontId="10" numFmtId="0" xfId="0" applyAlignment="1" applyBorder="1" applyFont="1">
      <alignment readingOrder="0" shrinkToFit="0" wrapText="0"/>
    </xf>
    <xf borderId="82" fillId="13" fontId="10" numFmtId="0" xfId="0" applyAlignment="1" applyBorder="1" applyFont="1">
      <alignment shrinkToFit="0" wrapText="0"/>
    </xf>
    <xf borderId="198" fillId="13" fontId="10" numFmtId="0" xfId="0" applyAlignment="1" applyBorder="1" applyFont="1">
      <alignment shrinkToFit="0" wrapText="1"/>
    </xf>
    <xf borderId="27" fillId="13" fontId="4" numFmtId="0" xfId="0" applyBorder="1" applyFont="1"/>
    <xf borderId="79" fillId="3" fontId="10" numFmtId="3" xfId="0" applyAlignment="1" applyBorder="1" applyFont="1" applyNumberFormat="1">
      <alignment shrinkToFit="0" wrapText="1"/>
    </xf>
    <xf borderId="82" fillId="3" fontId="10" numFmtId="165" xfId="0" applyAlignment="1" applyBorder="1" applyFont="1" applyNumberFormat="1">
      <alignment shrinkToFit="0" wrapText="1"/>
    </xf>
    <xf borderId="82" fillId="3" fontId="10" numFmtId="0" xfId="0" applyAlignment="1" applyBorder="1" applyFont="1">
      <alignment readingOrder="0" shrinkToFit="0" wrapText="0"/>
    </xf>
    <xf borderId="79" fillId="13" fontId="10" numFmtId="3" xfId="0" applyAlignment="1" applyBorder="1" applyFont="1" applyNumberFormat="1">
      <alignment shrinkToFit="0" wrapText="1"/>
    </xf>
    <xf borderId="82" fillId="13" fontId="10" numFmtId="165" xfId="0" applyAlignment="1" applyBorder="1" applyFont="1" applyNumberFormat="1">
      <alignment shrinkToFit="0" wrapText="1"/>
    </xf>
    <xf borderId="82" fillId="13" fontId="10" numFmtId="0" xfId="0" applyAlignment="1" applyBorder="1" applyFont="1">
      <alignment readingOrder="0" shrinkToFit="0" wrapText="0"/>
    </xf>
    <xf borderId="88" fillId="13" fontId="10" numFmtId="3" xfId="0" applyAlignment="1" applyBorder="1" applyFont="1" applyNumberFormat="1">
      <alignment shrinkToFit="0" wrapText="1"/>
    </xf>
    <xf borderId="89" fillId="13" fontId="10" numFmtId="0" xfId="0" applyAlignment="1" applyBorder="1" applyFont="1">
      <alignment shrinkToFit="0" wrapText="1"/>
    </xf>
    <xf borderId="89" fillId="13" fontId="10" numFmtId="165" xfId="0" applyAlignment="1" applyBorder="1" applyFont="1" applyNumberFormat="1">
      <alignment shrinkToFit="0" wrapText="1"/>
    </xf>
    <xf borderId="89" fillId="13" fontId="10" numFmtId="165" xfId="0" applyAlignment="1" applyBorder="1" applyFont="1" applyNumberFormat="1">
      <alignment readingOrder="0" shrinkToFit="0" wrapText="1"/>
    </xf>
    <xf borderId="89" fillId="13" fontId="10" numFmtId="0" xfId="0" applyAlignment="1" applyBorder="1" applyFont="1">
      <alignment readingOrder="0" shrinkToFit="0" wrapText="0"/>
    </xf>
    <xf borderId="89" fillId="13" fontId="10" numFmtId="0" xfId="0" applyAlignment="1" applyBorder="1" applyFont="1">
      <alignment shrinkToFit="0" wrapText="0"/>
    </xf>
    <xf borderId="199" fillId="13" fontId="10" numFmtId="0" xfId="0" applyAlignment="1" applyBorder="1" applyFont="1">
      <alignment shrinkToFit="0" wrapText="1"/>
    </xf>
    <xf borderId="4" fillId="13" fontId="4" numFmtId="0" xfId="0" applyBorder="1" applyFont="1"/>
    <xf borderId="111" fillId="13" fontId="4" numFmtId="0" xfId="0" applyBorder="1" applyFont="1"/>
    <xf borderId="8" fillId="22" fontId="3" numFmtId="0" xfId="0" applyAlignment="1" applyBorder="1" applyFont="1">
      <alignment readingOrder="0" shrinkToFit="0" wrapText="1"/>
    </xf>
    <xf borderId="200" fillId="22" fontId="4" numFmtId="0" xfId="0" applyBorder="1" applyFont="1"/>
    <xf borderId="201" fillId="22" fontId="44" numFmtId="0" xfId="0" applyAlignment="1" applyBorder="1" applyFont="1">
      <alignment readingOrder="0" shrinkToFit="0" wrapText="1"/>
    </xf>
    <xf borderId="202" fillId="0" fontId="3" numFmtId="0" xfId="0" applyAlignment="1" applyBorder="1" applyFont="1">
      <alignment readingOrder="0" shrinkToFit="0" wrapText="1"/>
    </xf>
    <xf borderId="201" fillId="0" fontId="44" numFmtId="0" xfId="0" applyAlignment="1" applyBorder="1" applyFont="1">
      <alignment readingOrder="0" shrinkToFit="0" wrapText="1"/>
    </xf>
    <xf borderId="87" fillId="3" fontId="31" numFmtId="166" xfId="0" applyAlignment="1" applyBorder="1" applyFont="1" applyNumberFormat="1">
      <alignment readingOrder="0" shrinkToFit="0" wrapText="1"/>
    </xf>
    <xf borderId="81" fillId="0" fontId="31" numFmtId="0" xfId="0" applyAlignment="1" applyBorder="1" applyFont="1">
      <alignment readingOrder="0" shrinkToFit="0" wrapText="1"/>
    </xf>
    <xf borderId="87" fillId="0" fontId="31" numFmtId="3" xfId="0" applyAlignment="1" applyBorder="1" applyFont="1" applyNumberFormat="1">
      <alignment readingOrder="0" shrinkToFit="0" wrapText="1"/>
    </xf>
    <xf borderId="107" fillId="15" fontId="28" numFmtId="0" xfId="0" applyAlignment="1" applyBorder="1" applyFont="1">
      <alignment readingOrder="0" shrinkToFit="0" wrapText="1"/>
    </xf>
    <xf borderId="112" fillId="15" fontId="4" numFmtId="0" xfId="0" applyBorder="1" applyFont="1"/>
    <xf borderId="87" fillId="15" fontId="31" numFmtId="166" xfId="0" applyAlignment="1" applyBorder="1" applyFont="1" applyNumberFormat="1">
      <alignment readingOrder="0" shrinkToFit="0" wrapText="1"/>
    </xf>
    <xf borderId="81" fillId="0" fontId="31" numFmtId="0" xfId="0" applyAlignment="1" applyBorder="1" applyFont="1">
      <alignment readingOrder="0" shrinkToFit="0" wrapText="0"/>
    </xf>
    <xf borderId="94" fillId="0" fontId="35" numFmtId="0" xfId="0" applyAlignment="1" applyBorder="1" applyFont="1">
      <alignment readingOrder="0" shrinkToFit="0" wrapText="1"/>
    </xf>
    <xf borderId="96" fillId="0" fontId="35" numFmtId="0" xfId="0" applyAlignment="1" applyBorder="1" applyFont="1">
      <alignment readingOrder="0" shrinkToFit="0" wrapText="1"/>
    </xf>
    <xf borderId="203" fillId="3" fontId="4" numFmtId="0" xfId="0" applyBorder="1" applyFont="1"/>
    <xf borderId="96" fillId="3" fontId="35" numFmtId="165" xfId="0" applyAlignment="1" applyBorder="1" applyFont="1" applyNumberFormat="1">
      <alignment readingOrder="0" shrinkToFit="0" wrapText="1"/>
    </xf>
    <xf borderId="122" fillId="22" fontId="3" numFmtId="0" xfId="0" applyAlignment="1" applyBorder="1" applyFont="1">
      <alignment horizontal="left" readingOrder="0" shrinkToFit="0" wrapText="1"/>
    </xf>
    <xf borderId="96" fillId="3" fontId="35" numFmtId="165" xfId="0" applyAlignment="1" applyBorder="1" applyFont="1" applyNumberFormat="1">
      <alignment readingOrder="0" shrinkToFit="0" wrapText="1"/>
    </xf>
    <xf borderId="202" fillId="0" fontId="3" numFmtId="0" xfId="0" applyAlignment="1" applyBorder="1" applyFont="1">
      <alignment readingOrder="0" shrinkToFit="0" wrapText="0"/>
    </xf>
    <xf borderId="204" fillId="0" fontId="53" numFmtId="0" xfId="0" applyAlignment="1" applyBorder="1" applyFont="1">
      <alignment readingOrder="0" shrinkToFit="0" wrapText="1"/>
    </xf>
    <xf borderId="204" fillId="0" fontId="3" numFmtId="0" xfId="0" applyAlignment="1" applyBorder="1" applyFont="1">
      <alignment readingOrder="0" shrinkToFit="0" wrapText="1"/>
    </xf>
    <xf borderId="204" fillId="0" fontId="2" numFmtId="0" xfId="0" applyAlignment="1" applyBorder="1" applyFont="1">
      <alignment readingOrder="0" shrinkToFit="0" wrapText="1"/>
    </xf>
    <xf borderId="204" fillId="0" fontId="4" numFmtId="0" xfId="0" applyAlignment="1" applyBorder="1" applyFont="1">
      <alignment shrinkToFit="0" wrapText="1"/>
    </xf>
    <xf borderId="204" fillId="0" fontId="2" numFmtId="0" xfId="0" applyAlignment="1" applyBorder="1" applyFont="1">
      <alignment shrinkToFit="0" wrapText="1"/>
    </xf>
    <xf borderId="201" fillId="0" fontId="2" numFmtId="0" xfId="0" applyAlignment="1" applyBorder="1" applyFont="1">
      <alignment shrinkToFit="0" wrapText="1"/>
    </xf>
    <xf borderId="76" fillId="0" fontId="9" numFmtId="0" xfId="0" applyAlignment="1" applyBorder="1" applyFont="1">
      <alignment readingOrder="0" shrinkToFit="0" wrapText="1"/>
    </xf>
    <xf borderId="77" fillId="0" fontId="13" numFmtId="0" xfId="0" applyAlignment="1" applyBorder="1" applyFont="1">
      <alignment readingOrder="0" shrinkToFit="0" wrapText="1"/>
    </xf>
    <xf borderId="78" fillId="0" fontId="13" numFmtId="0" xfId="0" applyAlignment="1" applyBorder="1" applyFont="1">
      <alignment readingOrder="0" shrinkToFit="0" wrapText="1"/>
    </xf>
    <xf borderId="81" fillId="0" fontId="28" numFmtId="3" xfId="0" applyAlignment="1" applyBorder="1" applyFont="1" applyNumberFormat="1">
      <alignment readingOrder="0" shrinkToFit="0" wrapText="1"/>
    </xf>
    <xf borderId="86" fillId="0" fontId="11" numFmtId="0" xfId="0" applyAlignment="1" applyBorder="1" applyFont="1">
      <alignment readingOrder="0" shrinkToFit="0" wrapText="1"/>
    </xf>
    <xf borderId="86" fillId="0" fontId="10" numFmtId="3" xfId="0" applyAlignment="1" applyBorder="1" applyFont="1" applyNumberFormat="1">
      <alignment readingOrder="0" shrinkToFit="0" wrapText="1"/>
    </xf>
    <xf borderId="86" fillId="0" fontId="10" numFmtId="0" xfId="0" applyAlignment="1" applyBorder="1" applyFont="1">
      <alignment readingOrder="0" shrinkToFit="0" wrapText="1"/>
    </xf>
    <xf borderId="86" fillId="0" fontId="28" numFmtId="0" xfId="0" applyAlignment="1" applyBorder="1" applyFont="1">
      <alignment shrinkToFit="0" wrapText="1"/>
    </xf>
    <xf borderId="86" fillId="0" fontId="10" numFmtId="0" xfId="0" applyAlignment="1" applyBorder="1" applyFont="1">
      <alignment shrinkToFit="0" wrapText="1"/>
    </xf>
    <xf borderId="87" fillId="0" fontId="10" numFmtId="0" xfId="0" applyAlignment="1" applyBorder="1" applyFont="1">
      <alignment shrinkToFit="0" wrapText="1"/>
    </xf>
    <xf borderId="87" fillId="0" fontId="10" numFmtId="0" xfId="0" applyAlignment="1" applyBorder="1" applyFont="1">
      <alignment readingOrder="0" shrinkToFit="0" wrapText="1"/>
    </xf>
    <xf borderId="94" fillId="0" fontId="28" numFmtId="3" xfId="0" applyAlignment="1" applyBorder="1" applyFont="1" applyNumberFormat="1">
      <alignment readingOrder="0" shrinkToFit="0" wrapText="1"/>
    </xf>
    <xf borderId="95" fillId="0" fontId="11" numFmtId="0" xfId="0" applyAlignment="1" applyBorder="1" applyFont="1">
      <alignment readingOrder="0" shrinkToFit="0" wrapText="1"/>
    </xf>
    <xf borderId="95" fillId="0" fontId="10" numFmtId="0" xfId="0" applyAlignment="1" applyBorder="1" applyFont="1">
      <alignment readingOrder="0" shrinkToFit="0" wrapText="1"/>
    </xf>
    <xf borderId="95" fillId="0" fontId="10" numFmtId="0" xfId="0" applyAlignment="1" applyBorder="1" applyFont="1">
      <alignment shrinkToFit="0" wrapText="1"/>
    </xf>
    <xf borderId="96" fillId="0" fontId="10" numFmtId="0" xfId="0" applyAlignment="1" applyBorder="1" applyFont="1">
      <alignment shrinkToFit="0" wrapText="1"/>
    </xf>
    <xf borderId="86" fillId="0" fontId="10" numFmtId="3" xfId="0" applyAlignment="1" applyBorder="1" applyFont="1" applyNumberFormat="1">
      <alignment shrinkToFit="0" wrapText="1"/>
    </xf>
    <xf borderId="96" fillId="0" fontId="10" numFmtId="3" xfId="0" applyAlignment="1" applyBorder="1" applyFont="1" applyNumberFormat="1">
      <alignment shrinkToFit="0" wrapText="1"/>
    </xf>
    <xf borderId="202" fillId="22" fontId="33" numFmtId="0" xfId="0" applyAlignment="1" applyBorder="1" applyFont="1">
      <alignment readingOrder="0" shrinkToFit="0" wrapText="1"/>
    </xf>
    <xf borderId="204" fillId="22" fontId="33" numFmtId="0" xfId="0" applyAlignment="1" applyBorder="1" applyFont="1">
      <alignment readingOrder="0" shrinkToFit="0" wrapText="1"/>
    </xf>
    <xf borderId="204" fillId="22" fontId="33" numFmtId="0" xfId="0" applyAlignment="1" applyBorder="1" applyFont="1">
      <alignment horizontal="center" readingOrder="0" shrinkToFit="0" wrapText="0"/>
    </xf>
    <xf borderId="205" fillId="22" fontId="33" numFmtId="0" xfId="0" applyAlignment="1" applyBorder="1" applyFont="1">
      <alignment readingOrder="0" shrinkToFit="0" wrapText="1"/>
    </xf>
    <xf borderId="86" fillId="3" fontId="10" numFmtId="165" xfId="0" applyAlignment="1" applyBorder="1" applyFont="1" applyNumberFormat="1">
      <alignment readingOrder="0" shrinkToFit="0" wrapText="1"/>
    </xf>
    <xf borderId="86" fillId="3" fontId="10" numFmtId="0" xfId="0" applyAlignment="1" applyBorder="1" applyFont="1">
      <alignment shrinkToFit="0" wrapText="1"/>
    </xf>
    <xf borderId="86" fillId="3" fontId="10" numFmtId="0" xfId="0" applyAlignment="1" applyBorder="1" applyFont="1">
      <alignment shrinkToFit="0" wrapText="0"/>
    </xf>
    <xf borderId="206" fillId="3" fontId="10" numFmtId="0" xfId="0" applyAlignment="1" applyBorder="1" applyFont="1">
      <alignment shrinkToFit="0" wrapText="1"/>
    </xf>
    <xf borderId="23" fillId="15" fontId="10" numFmtId="3" xfId="0" applyAlignment="1" applyBorder="1" applyFont="1" applyNumberFormat="1">
      <alignment readingOrder="0" shrinkToFit="0" wrapText="1"/>
    </xf>
    <xf borderId="24" fillId="15" fontId="10" numFmtId="0" xfId="0" applyAlignment="1" applyBorder="1" applyFont="1">
      <alignment readingOrder="0" shrinkToFit="0" wrapText="1"/>
    </xf>
    <xf borderId="24" fillId="15" fontId="10" numFmtId="165" xfId="0" applyAlignment="1" applyBorder="1" applyFont="1" applyNumberFormat="1">
      <alignment readingOrder="0" shrinkToFit="0" wrapText="1"/>
    </xf>
    <xf borderId="86" fillId="15" fontId="10" numFmtId="165" xfId="0" applyAlignment="1" applyBorder="1" applyFont="1" applyNumberFormat="1">
      <alignment readingOrder="0" shrinkToFit="0" wrapText="1"/>
    </xf>
    <xf borderId="86" fillId="15" fontId="10" numFmtId="0" xfId="0" applyAlignment="1" applyBorder="1" applyFont="1">
      <alignment shrinkToFit="0" wrapText="1"/>
    </xf>
    <xf borderId="24" fillId="15" fontId="10" numFmtId="0" xfId="0" applyAlignment="1" applyBorder="1" applyFont="1">
      <alignment readingOrder="0" shrinkToFit="0" wrapText="0"/>
    </xf>
    <xf borderId="86" fillId="15" fontId="10" numFmtId="0" xfId="0" applyAlignment="1" applyBorder="1" applyFont="1">
      <alignment shrinkToFit="0" wrapText="0"/>
    </xf>
    <xf borderId="206" fillId="15" fontId="10" numFmtId="0" xfId="0" applyAlignment="1" applyBorder="1" applyFont="1">
      <alignment shrinkToFit="0" wrapText="1"/>
    </xf>
    <xf borderId="27" fillId="15" fontId="4" numFmtId="0" xfId="0" applyBorder="1" applyFont="1"/>
    <xf borderId="81" fillId="3" fontId="10" numFmtId="3" xfId="0" applyAlignment="1" applyBorder="1" applyFont="1" applyNumberFormat="1">
      <alignment shrinkToFit="0" wrapText="1"/>
    </xf>
    <xf borderId="86" fillId="3" fontId="10" numFmtId="165" xfId="0" applyAlignment="1" applyBorder="1" applyFont="1" applyNumberFormat="1">
      <alignment shrinkToFit="0" wrapText="1"/>
    </xf>
    <xf borderId="86" fillId="3" fontId="10" numFmtId="0" xfId="0" applyAlignment="1" applyBorder="1" applyFont="1">
      <alignment readingOrder="0" shrinkToFit="0" wrapText="0"/>
    </xf>
    <xf borderId="81" fillId="15" fontId="10" numFmtId="3" xfId="0" applyAlignment="1" applyBorder="1" applyFont="1" applyNumberFormat="1">
      <alignment shrinkToFit="0" wrapText="1"/>
    </xf>
    <xf borderId="86" fillId="15" fontId="10" numFmtId="165" xfId="0" applyAlignment="1" applyBorder="1" applyFont="1" applyNumberFormat="1">
      <alignment shrinkToFit="0" wrapText="1"/>
    </xf>
    <xf borderId="86" fillId="15" fontId="10" numFmtId="0" xfId="0" applyAlignment="1" applyBorder="1" applyFont="1">
      <alignment readingOrder="0" shrinkToFit="0" wrapText="0"/>
    </xf>
    <xf borderId="94" fillId="15" fontId="10" numFmtId="3" xfId="0" applyAlignment="1" applyBorder="1" applyFont="1" applyNumberFormat="1">
      <alignment shrinkToFit="0" wrapText="1"/>
    </xf>
    <xf borderId="95" fillId="15" fontId="10" numFmtId="0" xfId="0" applyAlignment="1" applyBorder="1" applyFont="1">
      <alignment shrinkToFit="0" wrapText="1"/>
    </xf>
    <xf borderId="95" fillId="15" fontId="10" numFmtId="165" xfId="0" applyAlignment="1" applyBorder="1" applyFont="1" applyNumberFormat="1">
      <alignment shrinkToFit="0" wrapText="1"/>
    </xf>
    <xf borderId="95" fillId="15" fontId="10" numFmtId="165" xfId="0" applyAlignment="1" applyBorder="1" applyFont="1" applyNumberFormat="1">
      <alignment readingOrder="0" shrinkToFit="0" wrapText="1"/>
    </xf>
    <xf borderId="95" fillId="15" fontId="10" numFmtId="0" xfId="0" applyAlignment="1" applyBorder="1" applyFont="1">
      <alignment readingOrder="0" shrinkToFit="0" wrapText="0"/>
    </xf>
    <xf borderId="95" fillId="15" fontId="10" numFmtId="0" xfId="0" applyAlignment="1" applyBorder="1" applyFont="1">
      <alignment shrinkToFit="0" wrapText="0"/>
    </xf>
    <xf borderId="207" fillId="15" fontId="10" numFmtId="0" xfId="0" applyAlignment="1" applyBorder="1" applyFont="1">
      <alignment shrinkToFit="0" wrapText="1"/>
    </xf>
    <xf borderId="4" fillId="15" fontId="4" numFmtId="0" xfId="0" applyBorder="1" applyFont="1"/>
    <xf borderId="111" fillId="15" fontId="4" numFmtId="0" xfId="0" applyBorder="1" applyFont="1"/>
    <xf borderId="0" fillId="0" fontId="61" numFmtId="0" xfId="0" applyAlignment="1" applyFont="1">
      <alignment readingOrder="0"/>
    </xf>
    <xf borderId="0" fillId="0" fontId="62" numFmtId="0" xfId="0" applyAlignment="1" applyFont="1">
      <alignment horizontal="center" readingOrder="0" vertical="center"/>
    </xf>
    <xf borderId="0" fillId="0" fontId="11" numFmtId="0" xfId="0" applyAlignment="1" applyFont="1">
      <alignment readingOrder="0"/>
    </xf>
    <xf borderId="208" fillId="24" fontId="11" numFmtId="0" xfId="0" applyAlignment="1" applyBorder="1" applyFill="1" applyFont="1">
      <alignment readingOrder="0"/>
    </xf>
    <xf borderId="209" fillId="24" fontId="11" numFmtId="0" xfId="0" applyAlignment="1" applyBorder="1" applyFont="1">
      <alignment readingOrder="0"/>
    </xf>
    <xf borderId="9" fillId="24" fontId="4" numFmtId="0" xfId="0" applyBorder="1" applyFont="1"/>
    <xf borderId="10" fillId="24" fontId="4" numFmtId="0" xfId="0" applyBorder="1" applyFont="1"/>
    <xf borderId="210" fillId="3" fontId="10" numFmtId="168" xfId="0" applyAlignment="1" applyBorder="1" applyFont="1" applyNumberFormat="1">
      <alignment readingOrder="0"/>
    </xf>
    <xf borderId="211" fillId="3" fontId="10" numFmtId="0" xfId="0" applyAlignment="1" applyBorder="1" applyFont="1">
      <alignment readingOrder="0" shrinkToFit="0" wrapText="1"/>
    </xf>
    <xf borderId="210" fillId="25" fontId="10" numFmtId="0" xfId="0" applyBorder="1" applyFill="1" applyFont="1"/>
    <xf borderId="211" fillId="25" fontId="10" numFmtId="0" xfId="0" applyAlignment="1" applyBorder="1" applyFont="1">
      <alignment readingOrder="0" shrinkToFit="0" wrapText="1"/>
    </xf>
    <xf borderId="27" fillId="25" fontId="4" numFmtId="0" xfId="0" applyBorder="1" applyFont="1"/>
    <xf borderId="210" fillId="3" fontId="10" numFmtId="0" xfId="0" applyBorder="1" applyFont="1"/>
    <xf borderId="210" fillId="25" fontId="10" numFmtId="0" xfId="0" applyAlignment="1" applyBorder="1" applyFont="1">
      <alignment readingOrder="0"/>
    </xf>
    <xf borderId="210" fillId="3" fontId="10" numFmtId="0" xfId="0" applyAlignment="1" applyBorder="1" applyFont="1">
      <alignment readingOrder="0"/>
    </xf>
    <xf borderId="0" fillId="25" fontId="31" numFmtId="0" xfId="0" applyAlignment="1" applyFont="1">
      <alignment horizontal="left" readingOrder="0"/>
    </xf>
    <xf borderId="211" fillId="25" fontId="63" numFmtId="0" xfId="0" applyAlignment="1" applyBorder="1" applyFont="1">
      <alignment readingOrder="0" shrinkToFit="0" wrapText="1"/>
    </xf>
    <xf borderId="211" fillId="25" fontId="10" numFmtId="0" xfId="0" applyAlignment="1" applyBorder="1" applyFont="1">
      <alignment shrinkToFit="0" wrapText="1"/>
    </xf>
    <xf borderId="211" fillId="3" fontId="10" numFmtId="0" xfId="0" applyAlignment="1" applyBorder="1" applyFont="1">
      <alignment shrinkToFit="0" wrapText="1"/>
    </xf>
    <xf borderId="212" fillId="25" fontId="10" numFmtId="0" xfId="0" applyBorder="1" applyFont="1"/>
    <xf borderId="213" fillId="25" fontId="10" numFmtId="0" xfId="0" applyAlignment="1" applyBorder="1" applyFont="1">
      <alignment shrinkToFit="0" wrapText="1"/>
    </xf>
    <xf borderId="4" fillId="25" fontId="4" numFmtId="0" xfId="0" applyBorder="1" applyFont="1"/>
    <xf borderId="111" fillId="25" fontId="4" numFmtId="0" xfId="0" applyBorder="1" applyFont="1"/>
    <xf borderId="0" fillId="0" fontId="64" numFmtId="0" xfId="0" applyAlignment="1" applyFont="1">
      <alignment readingOrder="0" vertical="center"/>
    </xf>
    <xf borderId="0" fillId="0" fontId="65" numFmtId="0" xfId="0" applyAlignment="1" applyFont="1">
      <alignment readingOrder="0" shrinkToFit="0" wrapText="1"/>
    </xf>
    <xf borderId="8" fillId="0" fontId="61" numFmtId="0" xfId="0" applyAlignment="1" applyBorder="1" applyFont="1">
      <alignment readingOrder="0"/>
    </xf>
    <xf borderId="9" fillId="0" fontId="61" numFmtId="0" xfId="0" applyAlignment="1" applyBorder="1" applyFont="1">
      <alignment readingOrder="0"/>
    </xf>
    <xf borderId="10" fillId="0" fontId="61" numFmtId="0" xfId="0" applyAlignment="1" applyBorder="1" applyFont="1">
      <alignment readingOrder="0" shrinkToFit="0" wrapText="1"/>
    </xf>
    <xf borderId="0" fillId="0" fontId="61" numFmtId="0" xfId="0" applyAlignment="1" applyFont="1">
      <alignment readingOrder="0" shrinkToFit="0" wrapText="1"/>
    </xf>
    <xf borderId="10" fillId="0" fontId="4" numFmtId="0" xfId="0" applyBorder="1" applyFont="1"/>
    <xf borderId="107" fillId="0" fontId="4" numFmtId="0" xfId="0" applyAlignment="1" applyBorder="1" applyFont="1">
      <alignment readingOrder="0"/>
    </xf>
    <xf borderId="27" fillId="0" fontId="4" numFmtId="0" xfId="0" applyAlignment="1" applyBorder="1" applyFont="1">
      <alignment readingOrder="0"/>
    </xf>
    <xf borderId="27" fillId="0" fontId="4" numFmtId="0" xfId="0" applyBorder="1" applyFont="1"/>
    <xf borderId="107" fillId="0" fontId="4" numFmtId="0" xfId="0" applyBorder="1" applyFont="1"/>
    <xf borderId="0" fillId="3" fontId="66" numFmtId="0" xfId="0" applyFont="1"/>
    <xf borderId="27" fillId="3" fontId="66" numFmtId="0" xfId="0" applyBorder="1" applyFont="1"/>
    <xf borderId="4" fillId="0" fontId="4" numFmtId="0" xfId="0" applyAlignment="1" applyBorder="1" applyFont="1">
      <alignment readingOrder="0"/>
    </xf>
    <xf borderId="111" fillId="0" fontId="4" numFmtId="0" xfId="0" applyBorder="1" applyFont="1"/>
    <xf borderId="109" fillId="0" fontId="4" numFmtId="0" xfId="0" applyBorder="1" applyFont="1"/>
    <xf borderId="4" fillId="0" fontId="4" numFmtId="0" xfId="0" applyBorder="1" applyFont="1"/>
    <xf borderId="10" fillId="0" fontId="61" numFmtId="0" xfId="0" applyAlignment="1" applyBorder="1" applyFont="1">
      <alignment readingOrder="0"/>
    </xf>
    <xf borderId="107" fillId="0" fontId="4" numFmtId="3" xfId="0" applyAlignment="1" applyBorder="1" applyFont="1" applyNumberFormat="1">
      <alignment readingOrder="0"/>
    </xf>
    <xf borderId="27" fillId="0" fontId="4" numFmtId="3" xfId="0" applyAlignment="1" applyBorder="1" applyFont="1" applyNumberFormat="1">
      <alignment readingOrder="0"/>
    </xf>
    <xf borderId="109" fillId="0" fontId="4" numFmtId="3" xfId="0" applyAlignment="1" applyBorder="1" applyFont="1" applyNumberFormat="1">
      <alignment readingOrder="0"/>
    </xf>
    <xf borderId="111" fillId="0" fontId="4" numFmtId="3" xfId="0" applyAlignment="1" applyBorder="1" applyFont="1" applyNumberFormat="1">
      <alignment readingOrder="0"/>
    </xf>
    <xf borderId="109" fillId="0" fontId="4" numFmtId="0" xfId="0" applyAlignment="1" applyBorder="1" applyFont="1">
      <alignment readingOrder="0"/>
    </xf>
    <xf borderId="111" fillId="0" fontId="4" numFmtId="0" xfId="0" applyAlignment="1" applyBorder="1" applyFont="1">
      <alignment readingOrder="0"/>
    </xf>
  </cellXfs>
  <cellStyles count="1">
    <cellStyle xfId="0" name="Normal" builtinId="0"/>
  </cellStyles>
  <dxfs count="48">
    <dxf>
      <font/>
      <fill>
        <patternFill patternType="solid">
          <fgColor rgb="FFE06666"/>
          <bgColor rgb="FFE06666"/>
        </patternFill>
      </fill>
      <border/>
    </dxf>
    <dxf>
      <font>
        <color rgb="FFCC0000"/>
      </font>
      <fill>
        <patternFill patternType="none"/>
      </fill>
      <border/>
    </dxf>
    <dxf>
      <font>
        <color rgb="FFEA9999"/>
      </font>
      <fill>
        <patternFill patternType="none"/>
      </fill>
      <border/>
    </dxf>
    <dxf>
      <font>
        <color rgb="FFE69138"/>
      </font>
      <fill>
        <patternFill patternType="none"/>
      </fill>
      <border/>
    </dxf>
    <dxf>
      <font>
        <color rgb="FFF9CB9C"/>
      </font>
      <fill>
        <patternFill patternType="none"/>
      </fill>
      <border/>
    </dxf>
    <dxf>
      <font>
        <color rgb="FFF1C232"/>
      </font>
      <fill>
        <patternFill patternType="none"/>
      </fill>
      <border/>
    </dxf>
    <dxf>
      <font>
        <color rgb="FFFFE599"/>
      </font>
      <fill>
        <patternFill patternType="none"/>
      </fill>
      <border/>
    </dxf>
    <dxf>
      <font>
        <color rgb="FF6AA84F"/>
      </font>
      <fill>
        <patternFill patternType="none"/>
      </fill>
      <border/>
    </dxf>
    <dxf>
      <font>
        <color rgb="FFB6D7A8"/>
      </font>
      <fill>
        <patternFill patternType="none"/>
      </fill>
      <border/>
    </dxf>
    <dxf>
      <font>
        <color rgb="FF76A5AF"/>
      </font>
      <fill>
        <patternFill patternType="none"/>
      </fill>
      <border/>
    </dxf>
    <dxf>
      <font>
        <color rgb="FFA2C4C9"/>
      </font>
      <fill>
        <patternFill patternType="none"/>
      </fill>
      <border/>
    </dxf>
    <dxf>
      <font>
        <color rgb="FF6FA8DC"/>
      </font>
      <fill>
        <patternFill patternType="none"/>
      </fill>
      <border/>
    </dxf>
    <dxf>
      <font>
        <color rgb="FF9FC5E8"/>
      </font>
      <fill>
        <patternFill patternType="none"/>
      </fill>
      <border/>
    </dxf>
    <dxf>
      <font>
        <color rgb="FF3C78D8"/>
      </font>
      <fill>
        <patternFill patternType="none"/>
      </fill>
      <border/>
    </dxf>
    <dxf>
      <font>
        <color rgb="FFA4C2F4"/>
      </font>
      <fill>
        <patternFill patternType="none"/>
      </fill>
      <border/>
    </dxf>
    <dxf>
      <font>
        <color rgb="FF8E7CC3"/>
      </font>
      <fill>
        <patternFill patternType="none"/>
      </fill>
      <border/>
    </dxf>
    <dxf>
      <font>
        <color rgb="FFB4A7D6"/>
      </font>
      <fill>
        <patternFill patternType="none"/>
      </fill>
      <border/>
    </dxf>
    <dxf>
      <font>
        <color rgb="FFC27BA0"/>
      </font>
      <fill>
        <patternFill patternType="none"/>
      </fill>
      <border/>
    </dxf>
    <dxf>
      <font>
        <color rgb="FFD5A6BD"/>
      </font>
      <fill>
        <patternFill patternType="none"/>
      </fill>
      <border/>
    </dxf>
    <dxf>
      <font/>
      <fill>
        <patternFill patternType="none"/>
      </fill>
      <border/>
    </dxf>
    <dxf>
      <font/>
      <fill>
        <patternFill patternType="solid">
          <fgColor rgb="FF434343"/>
          <bgColor rgb="FF434343"/>
        </patternFill>
      </fill>
      <border/>
    </dxf>
    <dxf>
      <font/>
      <fill>
        <patternFill patternType="solid">
          <fgColor rgb="FFFFFFFF"/>
          <bgColor rgb="FFFFFFFF"/>
        </patternFill>
      </fill>
      <border/>
    </dxf>
    <dxf>
      <font/>
      <fill>
        <patternFill patternType="solid">
          <fgColor rgb="FFEFEFEF"/>
          <bgColor rgb="FFEFEFEF"/>
        </patternFill>
      </fill>
      <border/>
    </dxf>
    <dxf>
      <font>
        <color rgb="FFD9D9D9"/>
      </font>
      <fill>
        <patternFill patternType="none"/>
      </fill>
      <border/>
    </dxf>
    <dxf>
      <font>
        <b/>
        <color rgb="FFC53929"/>
      </font>
      <fill>
        <patternFill patternType="none"/>
      </fill>
      <border/>
    </dxf>
    <dxf>
      <font>
        <color rgb="FF666666"/>
      </font>
      <fill>
        <patternFill patternType="none"/>
      </fill>
      <border/>
    </dxf>
    <dxf>
      <font>
        <b/>
        <color rgb="FFE06666"/>
      </font>
      <fill>
        <patternFill patternType="none"/>
      </fill>
      <border/>
    </dxf>
    <dxf>
      <font/>
      <fill>
        <patternFill patternType="solid">
          <fgColor rgb="FFBDBDBD"/>
          <bgColor rgb="FFBDBDBD"/>
        </patternFill>
      </fill>
      <border/>
    </dxf>
    <dxf>
      <font/>
      <fill>
        <patternFill patternType="solid">
          <fgColor rgb="FFF3F3F3"/>
          <bgColor rgb="FFF3F3F3"/>
        </patternFill>
      </fill>
      <border/>
    </dxf>
    <dxf>
      <font>
        <color rgb="FFFFA6A6"/>
      </font>
      <fill>
        <patternFill patternType="none"/>
      </fill>
      <border/>
    </dxf>
    <dxf>
      <font/>
      <fill>
        <patternFill patternType="solid">
          <fgColor rgb="FF990000"/>
          <bgColor rgb="FF990000"/>
        </patternFill>
      </fill>
      <border/>
    </dxf>
    <dxf>
      <font/>
      <fill>
        <patternFill patternType="solid">
          <fgColor rgb="FFF4CCCC"/>
          <bgColor rgb="FFF4CCCC"/>
        </patternFill>
      </fill>
      <border/>
    </dxf>
    <dxf>
      <font/>
      <fill>
        <patternFill patternType="solid">
          <fgColor rgb="FF45818E"/>
          <bgColor rgb="FF45818E"/>
        </patternFill>
      </fill>
      <border/>
    </dxf>
    <dxf>
      <font/>
      <fill>
        <patternFill patternType="solid">
          <fgColor rgb="FFD0E0E3"/>
          <bgColor rgb="FFD0E0E3"/>
        </patternFill>
      </fill>
      <border/>
    </dxf>
    <dxf>
      <font/>
      <fill>
        <patternFill patternType="solid">
          <fgColor rgb="FFB45F06"/>
          <bgColor rgb="FFB45F06"/>
        </patternFill>
      </fill>
      <border/>
    </dxf>
    <dxf>
      <font/>
      <fill>
        <patternFill patternType="solid">
          <fgColor rgb="FFFCE5CD"/>
          <bgColor rgb="FFFCE5CD"/>
        </patternFill>
      </fill>
      <border/>
    </dxf>
    <dxf>
      <font/>
      <fill>
        <patternFill patternType="solid">
          <fgColor rgb="FFBF9000"/>
          <bgColor rgb="FFBF9000"/>
        </patternFill>
      </fill>
      <border/>
    </dxf>
    <dxf>
      <font/>
      <fill>
        <patternFill patternType="solid">
          <fgColor rgb="FFFFF2CC"/>
          <bgColor rgb="FFFFF2CC"/>
        </patternFill>
      </fill>
      <border/>
    </dxf>
    <dxf>
      <font/>
      <fill>
        <patternFill patternType="solid">
          <fgColor rgb="FF674EA7"/>
          <bgColor rgb="FF674EA7"/>
        </patternFill>
      </fill>
      <border/>
    </dxf>
    <dxf>
      <font/>
      <fill>
        <patternFill patternType="solid">
          <fgColor rgb="FFD9D2E9"/>
          <bgColor rgb="FFD9D2E9"/>
        </patternFill>
      </fill>
      <border/>
    </dxf>
    <dxf>
      <font/>
      <fill>
        <patternFill patternType="solid">
          <fgColor rgb="FF38761D"/>
          <bgColor rgb="FF38761D"/>
        </patternFill>
      </fill>
      <border/>
    </dxf>
    <dxf>
      <font/>
      <fill>
        <patternFill patternType="solid">
          <fgColor rgb="FFD9EAD3"/>
          <bgColor rgb="FFD9EAD3"/>
        </patternFill>
      </fill>
      <border/>
    </dxf>
    <dxf>
      <font/>
      <fill>
        <patternFill patternType="solid">
          <fgColor rgb="FF0B5394"/>
          <bgColor rgb="FF0B5394"/>
        </patternFill>
      </fill>
      <border/>
    </dxf>
    <dxf>
      <font/>
      <fill>
        <patternFill patternType="solid">
          <fgColor rgb="FFCFE2F3"/>
          <bgColor rgb="FFCFE2F3"/>
        </patternFill>
      </fill>
      <border/>
    </dxf>
    <dxf>
      <font/>
      <fill>
        <patternFill patternType="solid">
          <fgColor rgb="FF1155CC"/>
          <bgColor rgb="FF1155CC"/>
        </patternFill>
      </fill>
      <border/>
    </dxf>
    <dxf>
      <font/>
      <fill>
        <patternFill patternType="solid">
          <fgColor rgb="FFC9DAF8"/>
          <bgColor rgb="FFC9DAF8"/>
        </patternFill>
      </fill>
      <border/>
    </dxf>
    <dxf>
      <font/>
      <fill>
        <patternFill patternType="solid">
          <fgColor rgb="FFA64D79"/>
          <bgColor rgb="FFA64D79"/>
        </patternFill>
      </fill>
      <border/>
    </dxf>
    <dxf>
      <font/>
      <fill>
        <patternFill patternType="solid">
          <fgColor rgb="FFEAD1DC"/>
          <bgColor rgb="FFEAD1DC"/>
        </patternFill>
      </fill>
      <border/>
    </dxf>
  </dxfs>
  <tableStyles count="42">
    <tableStyle count="3" pivot="0" name="Party Info-style">
      <tableStyleElement dxfId="20" type="headerRow"/>
      <tableStyleElement dxfId="21" type="firstRowStripe"/>
      <tableStyleElement dxfId="22" type="secondRowStripe"/>
    </tableStyle>
    <tableStyle count="3" pivot="0" name="Party Info-style 2">
      <tableStyleElement dxfId="20" type="headerRow"/>
      <tableStyleElement dxfId="21" type="firstRowStripe"/>
      <tableStyleElement dxfId="22" type="secondRowStripe"/>
    </tableStyle>
    <tableStyle count="3" pivot="0" name="Party Info-style 3">
      <tableStyleElement dxfId="20" type="headerRow"/>
      <tableStyleElement dxfId="21" type="firstRowStripe"/>
      <tableStyleElement dxfId="22" type="secondRowStripe"/>
    </tableStyle>
    <tableStyle count="3" pivot="0" name="Party Inventory-style">
      <tableStyleElement dxfId="27" type="headerRow"/>
      <tableStyleElement dxfId="21" type="firstRowStripe"/>
      <tableStyleElement dxfId="28" type="secondRowStripe"/>
    </tableStyle>
    <tableStyle count="3" pivot="0" name="Hidden 757861784-style">
      <tableStyleElement dxfId="30" type="headerRow"/>
      <tableStyleElement dxfId="21" type="firstRowStripe"/>
      <tableStyleElement dxfId="31" type="secondRowStripe"/>
    </tableStyle>
    <tableStyle count="3" pivot="0" name="Hidden 757861784-style 2">
      <tableStyleElement dxfId="32" type="headerRow"/>
      <tableStyleElement dxfId="21" type="firstRowStripe"/>
      <tableStyleElement dxfId="33" type="secondRowStripe"/>
    </tableStyle>
    <tableStyle count="3" pivot="0" name="Hidden 796318378-style">
      <tableStyleElement dxfId="32" type="headerRow"/>
      <tableStyleElement dxfId="21" type="firstRowStripe"/>
      <tableStyleElement dxfId="33" type="secondRowStripe"/>
    </tableStyle>
    <tableStyle count="3" pivot="0" name="Hidden 796318378-style 2">
      <tableStyleElement dxfId="32" type="headerRow"/>
      <tableStyleElement dxfId="21" type="firstRowStripe"/>
      <tableStyleElement dxfId="33" type="secondRowStripe"/>
    </tableStyle>
    <tableStyle count="3" pivot="0" name="Hidden 796318378-style 3">
      <tableStyleElement dxfId="32" type="headerRow"/>
      <tableStyleElement dxfId="21" type="firstRowStripe"/>
      <tableStyleElement dxfId="33" type="secondRowStripe"/>
    </tableStyle>
    <tableStyle count="3" pivot="0" name="Hidden 796318378-style 4">
      <tableStyleElement dxfId="32" type="headerRow"/>
      <tableStyleElement dxfId="21" type="firstRowStripe"/>
      <tableStyleElement dxfId="33" type="secondRowStripe"/>
    </tableStyle>
    <tableStyle count="3" pivot="0" name="Hidden 796318378-style 5">
      <tableStyleElement dxfId="27" type="headerRow"/>
      <tableStyleElement dxfId="21" type="firstRowStripe"/>
      <tableStyleElement dxfId="28" type="secondRowStripe"/>
    </tableStyle>
    <tableStyle count="3" pivot="0" name="Hidden 196701235-style">
      <tableStyleElement dxfId="32" type="headerRow"/>
      <tableStyleElement dxfId="21" type="firstRowStripe"/>
      <tableStyleElement dxfId="33" type="secondRowStripe"/>
    </tableStyle>
    <tableStyle count="3" pivot="0" name="Hidden 196701235-style 2">
      <tableStyleElement dxfId="34" type="headerRow"/>
      <tableStyleElement dxfId="21" type="firstRowStripe"/>
      <tableStyleElement dxfId="35" type="secondRowStripe"/>
    </tableStyle>
    <tableStyle count="3" pivot="0" name="Hidden 196701235-style 3">
      <tableStyleElement dxfId="34" type="headerRow"/>
      <tableStyleElement dxfId="21" type="firstRowStripe"/>
      <tableStyleElement dxfId="35" type="secondRowStripe"/>
    </tableStyle>
    <tableStyle count="3" pivot="0" name="Hidden 196701235-style 4">
      <tableStyleElement dxfId="34" type="headerRow"/>
      <tableStyleElement dxfId="21" type="firstRowStripe"/>
      <tableStyleElement dxfId="35" type="secondRowStripe"/>
    </tableStyle>
    <tableStyle count="3" pivot="0" name="Hidden 1670416913-style">
      <tableStyleElement dxfId="36" type="headerRow"/>
      <tableStyleElement dxfId="21" type="firstRowStripe"/>
      <tableStyleElement dxfId="37" type="secondRowStripe"/>
    </tableStyle>
    <tableStyle count="3" pivot="0" name="Hidden 1670416913-style 2">
      <tableStyleElement dxfId="32" type="headerRow"/>
      <tableStyleElement dxfId="21" type="firstRowStripe"/>
      <tableStyleElement dxfId="33" type="secondRowStripe"/>
    </tableStyle>
    <tableStyle count="3" pivot="0" name="Hidden 1841022303-style">
      <tableStyleElement dxfId="32" type="headerRow"/>
      <tableStyleElement dxfId="21" type="firstRowStripe"/>
      <tableStyleElement dxfId="33" type="secondRowStripe"/>
    </tableStyle>
    <tableStyle count="3" pivot="0" name="Hidden 1841022303-style 2">
      <tableStyleElement dxfId="38" type="headerRow"/>
      <tableStyleElement dxfId="21" type="firstRowStripe"/>
      <tableStyleElement dxfId="39" type="secondRowStripe"/>
    </tableStyle>
    <tableStyle count="3" pivot="0" name="Hidden 1841022303-style 3">
      <tableStyleElement dxfId="38" type="headerRow"/>
      <tableStyleElement dxfId="21" type="firstRowStripe"/>
      <tableStyleElement dxfId="39" type="secondRowStripe"/>
    </tableStyle>
    <tableStyle count="3" pivot="0" name="Hidden 1841022303-style 4">
      <tableStyleElement dxfId="38" type="headerRow"/>
      <tableStyleElement dxfId="21" type="firstRowStripe"/>
      <tableStyleElement dxfId="39" type="secondRowStripe"/>
    </tableStyle>
    <tableStyle count="3" pivot="0" name="Hidden 1841022303-style 5">
      <tableStyleElement dxfId="27" type="headerRow"/>
      <tableStyleElement dxfId="21" type="firstRowStripe"/>
      <tableStyleElement dxfId="28" type="secondRowStripe"/>
    </tableStyle>
    <tableStyle count="3" pivot="0" name="Hidden 1564173661-style">
      <tableStyleElement dxfId="27" type="headerRow"/>
      <tableStyleElement dxfId="21" type="firstRowStripe"/>
      <tableStyleElement dxfId="28" type="secondRowStripe"/>
    </tableStyle>
    <tableStyle count="3" pivot="0" name="Hidden 1564173661-style 2">
      <tableStyleElement dxfId="40" type="headerRow"/>
      <tableStyleElement dxfId="21" type="firstRowStripe"/>
      <tableStyleElement dxfId="41" type="secondRowStripe"/>
    </tableStyle>
    <tableStyle count="3" pivot="0" name="Hidden 1564173661-style 3">
      <tableStyleElement dxfId="32" type="headerRow"/>
      <tableStyleElement dxfId="21" type="firstRowStripe"/>
      <tableStyleElement dxfId="33" type="secondRowStripe"/>
    </tableStyle>
    <tableStyle count="3" pivot="0" name="Hidden 1564173661-style 4">
      <tableStyleElement dxfId="40" type="headerRow"/>
      <tableStyleElement dxfId="21" type="firstRowStripe"/>
      <tableStyleElement dxfId="41" type="secondRowStripe"/>
    </tableStyle>
    <tableStyle count="3" pivot="0" name="Hidden 1564173661-style 5">
      <tableStyleElement dxfId="40" type="headerRow"/>
      <tableStyleElement dxfId="21" type="firstRowStripe"/>
      <tableStyleElement dxfId="41" type="secondRowStripe"/>
    </tableStyle>
    <tableStyle count="3" pivot="0" name="Hidden 1993484902-style">
      <tableStyleElement dxfId="32" type="headerRow"/>
      <tableStyleElement dxfId="21" type="firstRowStripe"/>
      <tableStyleElement dxfId="33" type="secondRowStripe"/>
    </tableStyle>
    <tableStyle count="3" pivot="0" name="Hidden 1993484902-style 2">
      <tableStyleElement dxfId="42" type="headerRow"/>
      <tableStyleElement dxfId="21" type="firstRowStripe"/>
      <tableStyleElement dxfId="43" type="secondRowStripe"/>
    </tableStyle>
    <tableStyle count="3" pivot="0" name="Hidden 1993484902-style 3">
      <tableStyleElement dxfId="42" type="headerRow"/>
      <tableStyleElement dxfId="21" type="firstRowStripe"/>
      <tableStyleElement dxfId="43" type="secondRowStripe"/>
    </tableStyle>
    <tableStyle count="3" pivot="0" name="Hidden 1993484902-style 4">
      <tableStyleElement dxfId="27" type="headerRow"/>
      <tableStyleElement dxfId="21" type="firstRowStripe"/>
      <tableStyleElement dxfId="28" type="secondRowStripe"/>
    </tableStyle>
    <tableStyle count="3" pivot="0" name="Hidden 1993484902-style 5">
      <tableStyleElement dxfId="42" type="headerRow"/>
      <tableStyleElement dxfId="21" type="firstRowStripe"/>
      <tableStyleElement dxfId="43" type="secondRowStripe"/>
    </tableStyle>
    <tableStyle count="3" pivot="0" name="Hidden 920736060-style">
      <tableStyleElement dxfId="44" type="headerRow"/>
      <tableStyleElement dxfId="21" type="firstRowStripe"/>
      <tableStyleElement dxfId="45" type="secondRowStripe"/>
    </tableStyle>
    <tableStyle count="3" pivot="0" name="Hidden 920736060-style 2">
      <tableStyleElement dxfId="44" type="headerRow"/>
      <tableStyleElement dxfId="21" type="firstRowStripe"/>
      <tableStyleElement dxfId="45" type="secondRowStripe"/>
    </tableStyle>
    <tableStyle count="3" pivot="0" name="Hidden 920736060-style 3">
      <tableStyleElement dxfId="32" type="headerRow"/>
      <tableStyleElement dxfId="21" type="firstRowStripe"/>
      <tableStyleElement dxfId="33" type="secondRowStripe"/>
    </tableStyle>
    <tableStyle count="3" pivot="0" name="Hidden 920736060-style 4">
      <tableStyleElement dxfId="44" type="headerRow"/>
      <tableStyleElement dxfId="21" type="firstRowStripe"/>
      <tableStyleElement dxfId="45" type="secondRowStripe"/>
    </tableStyle>
    <tableStyle count="3" pivot="0" name="Hidden 920736060-style 5">
      <tableStyleElement dxfId="27" type="headerRow"/>
      <tableStyleElement dxfId="21" type="firstRowStripe"/>
      <tableStyleElement dxfId="28" type="secondRowStripe"/>
    </tableStyle>
    <tableStyle count="3" pivot="0" name="Hidden 948371148-style">
      <tableStyleElement dxfId="46" type="headerRow"/>
      <tableStyleElement dxfId="21" type="firstRowStripe"/>
      <tableStyleElement dxfId="47" type="secondRowStripe"/>
    </tableStyle>
    <tableStyle count="3" pivot="0" name="Hidden 948371148-style 2">
      <tableStyleElement dxfId="46" type="headerRow"/>
      <tableStyleElement dxfId="21" type="firstRowStripe"/>
      <tableStyleElement dxfId="47" type="secondRowStripe"/>
    </tableStyle>
    <tableStyle count="3" pivot="0" name="Hidden 948371148-style 3">
      <tableStyleElement dxfId="27" type="headerRow"/>
      <tableStyleElement dxfId="21" type="firstRowStripe"/>
      <tableStyleElement dxfId="28" type="secondRowStripe"/>
    </tableStyle>
    <tableStyle count="3" pivot="0" name="Hidden 948371148-style 4">
      <tableStyleElement dxfId="32" type="headerRow"/>
      <tableStyleElement dxfId="21" type="firstRowStripe"/>
      <tableStyleElement dxfId="33" type="secondRowStripe"/>
    </tableStyle>
    <tableStyle count="3" pivot="0" name="Hidden 948371148-style 5">
      <tableStyleElement dxfId="46" type="headerRow"/>
      <tableStyleElement dxfId="21" type="firstRowStripe"/>
      <tableStyleElement dxfId="4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F15" displayName="Table_1" id="1">
  <tableColumns count="5">
    <tableColumn name="Column1" id="1"/>
    <tableColumn name="Column2" id="2"/>
    <tableColumn name="Column3" id="3"/>
    <tableColumn name="Column4" id="4"/>
    <tableColumn name="Column5" id="5"/>
  </tableColumns>
  <tableStyleInfo name="Party Info-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B17:K21" displayName="Table_2" id="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Party Info-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I2:K15" displayName="Table_3" id="3">
  <tableColumns count="3">
    <tableColumn name="Column1" id="1"/>
    <tableColumn name="Column2" id="2"/>
    <tableColumn name="Column3" id="3"/>
  </tableColumns>
  <tableStyleInfo name="Party Info-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 displayName="Table_4" id="4">
  <tableColumns count="1">
    <tableColumn name="Column1" id="1"/>
  </tableColumns>
  <tableStyleInfo name="Party Inventory-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G2:H5" displayName="Table_5" id="5">
  <tableColumns count="2">
    <tableColumn name="Column1" id="1"/>
    <tableColumn name="Column2" id="2"/>
  </tableColumns>
  <tableStyleInfo name="Hidden 757861784-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G7:H7" displayName="Table_6" id="6">
  <tableColumns count="2">
    <tableColumn name="Column1" id="1"/>
    <tableColumn name="Column2" id="2"/>
  </tableColumns>
  <tableStyleInfo name="Hidden 757861784-style 2"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B9:M15" displayName="Table_7" id="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796318378-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B17:M24" displayName="Table_8" id="8">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796318378-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G2:H5" displayName="Table_9" id="9">
  <tableColumns count="2">
    <tableColumn name="Column1" id="1"/>
    <tableColumn name="Column2" id="2"/>
  </tableColumns>
  <tableStyleInfo name="Hidden 796318378-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G7:H7" displayName="Table_10" id="10">
  <tableColumns count="2">
    <tableColumn name="Column1" id="1"/>
    <tableColumn name="Column2" id="2"/>
  </tableColumns>
  <tableStyleInfo name="Hidden 796318378-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1" displayName="Table_11" id="11">
  <tableColumns count="1">
    <tableColumn name="Column1" id="1"/>
  </tableColumns>
  <tableStyleInfo name="Hidden 796318378-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G7:H7" displayName="Table_12" id="12">
  <tableColumns count="2">
    <tableColumn name="Column1" id="1"/>
    <tableColumn name="Column2" id="2"/>
  </tableColumns>
  <tableStyleInfo name="Hidden 196701235-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B9:M15"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96701235-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G2:H5" displayName="Table_14" id="14">
  <tableColumns count="2">
    <tableColumn name="Column1" id="1"/>
    <tableColumn name="Column2" id="2"/>
  </tableColumns>
  <tableStyleInfo name="Hidden 196701235-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17:M24" display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96701235-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G2:H5" displayName="Table_16" id="16">
  <tableColumns count="2">
    <tableColumn name="Column1" id="1"/>
    <tableColumn name="Column2" id="2"/>
  </tableColumns>
  <tableStyleInfo name="Hidden 1670416913-style"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G7:H7" displayName="Table_17" id="17">
  <tableColumns count="2">
    <tableColumn name="Column1" id="1"/>
    <tableColumn name="Column2" id="2"/>
  </tableColumns>
  <tableStyleInfo name="Hidden 1670416913-style 2"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G7:H7" displayName="Table_18" id="18">
  <tableColumns count="2">
    <tableColumn name="Column1" id="1"/>
    <tableColumn name="Column2" id="2"/>
  </tableColumns>
  <tableStyleInfo name="Hidden 1841022303-style"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17:M24" displayName="Table_19" id="1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841022303-style 2"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G2:H5" displayName="Table_20" id="20">
  <tableColumns count="2">
    <tableColumn name="Column1" id="1"/>
    <tableColumn name="Column2" id="2"/>
  </tableColumns>
  <tableStyleInfo name="Hidden 1841022303-style 3"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9:M15" displayName="Table_21" id="2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841022303-style 4"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1" displayName="Table_22" id="22">
  <tableColumns count="1">
    <tableColumn name="Column1" id="1"/>
  </tableColumns>
  <tableStyleInfo name="Hidden 1841022303-style 5"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1" displayName="Table_23" id="23">
  <tableColumns count="1">
    <tableColumn name="Column1" id="1"/>
  </tableColumns>
  <tableStyleInfo name="Hidden 1564173661-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17:M24" display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564173661-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G7:H7" displayName="Table_25" id="25">
  <tableColumns count="2">
    <tableColumn name="Column1" id="1"/>
    <tableColumn name="Column2" id="2"/>
  </tableColumns>
  <tableStyleInfo name="Hidden 1564173661-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G2:H5" displayName="Table_26" id="26">
  <tableColumns count="2">
    <tableColumn name="Column1" id="1"/>
    <tableColumn name="Column2" id="2"/>
  </tableColumns>
  <tableStyleInfo name="Hidden 1564173661-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B9:M15" display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564173661-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G7:H7" displayName="Table_28" id="28">
  <tableColumns count="2">
    <tableColumn name="Column1" id="1"/>
    <tableColumn name="Column2" id="2"/>
  </tableColumns>
  <tableStyleInfo name="Hidden 1993484902-style"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17:M24" displayName="Table_29" id="2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993484902-style 2"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9:M15" displayName="Table_30" id="30">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1993484902-style 3"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A1" displayName="Table_31" id="31">
  <tableColumns count="1">
    <tableColumn name="Column1" id="1"/>
  </tableColumns>
  <tableStyleInfo name="Hidden 1993484902-style 4"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G2:H5" displayName="Table_32" id="32">
  <tableColumns count="2">
    <tableColumn name="Column1" id="1"/>
    <tableColumn name="Column2" id="2"/>
  </tableColumns>
  <tableStyleInfo name="Hidden 1993484902-style 5"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B17:M24" displayName="Table_33" id="3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920736060-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G2:H5" displayName="Table_34" id="34">
  <tableColumns count="2">
    <tableColumn name="Column1" id="1"/>
    <tableColumn name="Column2" id="2"/>
  </tableColumns>
  <tableStyleInfo name="Hidden 920736060-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G7:H7" displayName="Table_35" id="35">
  <tableColumns count="2">
    <tableColumn name="Column1" id="1"/>
    <tableColumn name="Column2" id="2"/>
  </tableColumns>
  <tableStyleInfo name="Hidden 920736060-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9:M15" displayName="Table_36" id="3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920736060-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A1" displayName="Table_37" id="37">
  <tableColumns count="1">
    <tableColumn name="Column1" id="1"/>
  </tableColumns>
  <tableStyleInfo name="Hidden 920736060-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9:M15" displayName="Table_38" id="38">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948371148-style"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17:M24" displayName="Table_39" id="3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Hidden 948371148-style 2"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A1" displayName="Table_40" id="40">
  <tableColumns count="1">
    <tableColumn name="Column1" id="1"/>
  </tableColumns>
  <tableStyleInfo name="Hidden 948371148-style 3"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G7:H7" displayName="Table_41" id="41">
  <tableColumns count="2">
    <tableColumn name="Column1" id="1"/>
    <tableColumn name="Column2" id="2"/>
  </tableColumns>
  <tableStyleInfo name="Hidden 948371148-style 4" showColumnStripes="0" showFirstColumn="1" showLastColumn="1" showRowStripes="1"/>
  <extLst>
    <ext uri="GoogleSheetsCustomDataVersion1">
      <go:sheetsCustomData xmlns:go="http://customooxmlschemas.google.com/" headerRowCount="1"/>
    </ext>
  </extLst>
</table>
</file>

<file path=xl/tables/table42.xml><?xml version="1.0" encoding="utf-8"?>
<table xmlns="http://schemas.openxmlformats.org/spreadsheetml/2006/main" headerRowCount="0" ref="G2:H5" displayName="Table_42" id="42">
  <tableColumns count="2">
    <tableColumn name="Column1" id="1"/>
    <tableColumn name="Column2" id="2"/>
  </tableColumns>
  <tableStyleInfo name="Hidden 948371148-style 5"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i.imgur.com/gFnzKMz.jpg"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i.imgur.com/Nwx2LDC.jpg?1" TargetMode="External"/><Relationship Id="rId3" Type="http://schemas.openxmlformats.org/officeDocument/2006/relationships/drawing" Target="../drawings/drawing2.xml"/><Relationship Id="rId4" Type="http://schemas.openxmlformats.org/officeDocument/2006/relationships/vmlDrawing" Target="../drawings/vmlDrawing2.vml"/><Relationship Id="rId10" Type="http://schemas.openxmlformats.org/officeDocument/2006/relationships/table" Target="../tables/table3.xml"/><Relationship Id="rId9" Type="http://schemas.openxmlformats.org/officeDocument/2006/relationships/table" Target="../tables/table2.xml"/><Relationship Id="rId8"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4.xml"/><Relationship Id="rId9" Type="http://schemas.openxmlformats.org/officeDocument/2006/relationships/table" Target="../tables/table6.xml"/><Relationship Id="rId5" Type="http://schemas.openxmlformats.org/officeDocument/2006/relationships/vmlDrawing" Target="../drawings/vmlDrawing4.vml"/><Relationship Id="rId8"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5.xml"/><Relationship Id="rId11" Type="http://schemas.openxmlformats.org/officeDocument/2006/relationships/table" Target="../tables/table7.xml"/><Relationship Id="rId13" Type="http://schemas.openxmlformats.org/officeDocument/2006/relationships/table" Target="../tables/table9.xml"/><Relationship Id="rId12" Type="http://schemas.openxmlformats.org/officeDocument/2006/relationships/table" Target="../tables/table8.xml"/><Relationship Id="rId15" Type="http://schemas.openxmlformats.org/officeDocument/2006/relationships/table" Target="../tables/table11.xml"/><Relationship Id="rId14" Type="http://schemas.openxmlformats.org/officeDocument/2006/relationships/table" Target="../tables/table10.xml"/><Relationship Id="rId5"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6.xml"/><Relationship Id="rId11" Type="http://schemas.openxmlformats.org/officeDocument/2006/relationships/table" Target="../tables/table13.xml"/><Relationship Id="rId10" Type="http://schemas.openxmlformats.org/officeDocument/2006/relationships/table" Target="../tables/table12.xml"/><Relationship Id="rId13" Type="http://schemas.openxmlformats.org/officeDocument/2006/relationships/table" Target="../tables/table15.xml"/><Relationship Id="rId12" Type="http://schemas.openxmlformats.org/officeDocument/2006/relationships/table" Target="../tables/table14.xml"/><Relationship Id="rId5"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7.xml"/><Relationship Id="rId9" Type="http://schemas.openxmlformats.org/officeDocument/2006/relationships/table" Target="../tables/table17.xml"/><Relationship Id="rId5" Type="http://schemas.openxmlformats.org/officeDocument/2006/relationships/vmlDrawing" Target="../drawings/vmlDrawing7.vml"/><Relationship Id="rId8"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8.xml"/><Relationship Id="rId11" Type="http://schemas.openxmlformats.org/officeDocument/2006/relationships/table" Target="../tables/table18.x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5"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9.xml"/><Relationship Id="rId11" Type="http://schemas.openxmlformats.org/officeDocument/2006/relationships/table" Target="../tables/table23.xml"/><Relationship Id="rId13" Type="http://schemas.openxmlformats.org/officeDocument/2006/relationships/table" Target="../tables/table25.xml"/><Relationship Id="rId12" Type="http://schemas.openxmlformats.org/officeDocument/2006/relationships/table" Target="../tables/table24.xml"/><Relationship Id="rId15" Type="http://schemas.openxmlformats.org/officeDocument/2006/relationships/table" Target="../tables/table27.xml"/><Relationship Id="rId14" Type="http://schemas.openxmlformats.org/officeDocument/2006/relationships/table" Target="../tables/table26.xml"/><Relationship Id="rId5"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0.xml"/><Relationship Id="rId11" Type="http://schemas.openxmlformats.org/officeDocument/2006/relationships/table" Target="../tables/table28.xml"/><Relationship Id="rId13" Type="http://schemas.openxmlformats.org/officeDocument/2006/relationships/table" Target="../tables/table30.xml"/><Relationship Id="rId12" Type="http://schemas.openxmlformats.org/officeDocument/2006/relationships/table" Target="../tables/table29.xml"/><Relationship Id="rId15" Type="http://schemas.openxmlformats.org/officeDocument/2006/relationships/table" Target="../tables/table32.xml"/><Relationship Id="rId14" Type="http://schemas.openxmlformats.org/officeDocument/2006/relationships/table" Target="../tables/table31.xml"/><Relationship Id="rId5"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1.xml"/><Relationship Id="rId11" Type="http://schemas.openxmlformats.org/officeDocument/2006/relationships/table" Target="../tables/table33.xml"/><Relationship Id="rId13" Type="http://schemas.openxmlformats.org/officeDocument/2006/relationships/table" Target="../tables/table35.xml"/><Relationship Id="rId12" Type="http://schemas.openxmlformats.org/officeDocument/2006/relationships/table" Target="../tables/table34.xml"/><Relationship Id="rId15" Type="http://schemas.openxmlformats.org/officeDocument/2006/relationships/table" Target="../tables/table37.xml"/><Relationship Id="rId14" Type="http://schemas.openxmlformats.org/officeDocument/2006/relationships/table" Target="../tables/table36.xml"/><Relationship Id="rId5"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hyperlink" Target="http://i.imgur.com/iwsp4gW.jpg?1" TargetMode="External"/><Relationship Id="rId3" Type="http://schemas.openxmlformats.org/officeDocument/2006/relationships/hyperlink" Target="http://i.imgur.com/gX3P7pu.png?1" TargetMode="External"/><Relationship Id="rId4" Type="http://schemas.openxmlformats.org/officeDocument/2006/relationships/drawing" Target="../drawings/drawing12.xml"/><Relationship Id="rId11" Type="http://schemas.openxmlformats.org/officeDocument/2006/relationships/table" Target="../tables/table38.xml"/><Relationship Id="rId13" Type="http://schemas.openxmlformats.org/officeDocument/2006/relationships/table" Target="../tables/table40.xml"/><Relationship Id="rId12" Type="http://schemas.openxmlformats.org/officeDocument/2006/relationships/table" Target="../tables/table39.xml"/><Relationship Id="rId15" Type="http://schemas.openxmlformats.org/officeDocument/2006/relationships/table" Target="../tables/table42.xml"/><Relationship Id="rId14" Type="http://schemas.openxmlformats.org/officeDocument/2006/relationships/table" Target="../tables/table41.xml"/><Relationship Id="rId5"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1" width="1.57"/>
    <col customWidth="1" min="2" max="2" width="3.71"/>
    <col customWidth="1" min="4" max="5" width="10.29"/>
    <col customWidth="1" min="6" max="6" width="8.86"/>
    <col customWidth="1" min="8" max="8" width="11.86"/>
    <col customWidth="1" min="9" max="9" width="12.0"/>
    <col customWidth="1" min="10" max="10" width="1.57"/>
    <col customWidth="1" min="11" max="11" width="3.71"/>
    <col customWidth="1" min="12" max="12" width="21.57"/>
    <col customWidth="1" min="14" max="14" width="1.57"/>
    <col customWidth="1" min="15" max="15" width="3.71"/>
    <col customWidth="1" min="16" max="16" width="21.57"/>
    <col customWidth="1" min="18" max="18" width="1.57"/>
    <col customWidth="1" min="19" max="19" width="3.71"/>
    <col customWidth="1" min="20" max="20" width="21.57"/>
    <col customWidth="1" min="22" max="22" width="1.57"/>
    <col hidden="1" min="23" max="30" width="14.43"/>
  </cols>
  <sheetData>
    <row r="1" ht="7.5" customHeight="1">
      <c r="A1" s="1" t="s">
        <v>0</v>
      </c>
      <c r="B1" s="2"/>
      <c r="C1" s="2"/>
      <c r="D1" s="2"/>
      <c r="E1" s="2"/>
      <c r="F1" s="2"/>
      <c r="G1" s="2"/>
      <c r="H1" s="2"/>
      <c r="I1" s="2"/>
    </row>
    <row r="2" ht="18.75" customHeight="1">
      <c r="A2" s="3"/>
      <c r="B2" s="4" t="s">
        <v>1</v>
      </c>
      <c r="C2" s="5"/>
      <c r="D2" s="5"/>
      <c r="E2" s="5"/>
      <c r="F2" s="5"/>
      <c r="G2" s="5"/>
      <c r="H2" s="5"/>
      <c r="I2" s="6"/>
      <c r="K2" s="7" t="s">
        <v>2</v>
      </c>
      <c r="L2" s="8"/>
      <c r="M2" s="8"/>
      <c r="N2" s="8"/>
      <c r="O2" s="8"/>
      <c r="P2" s="8"/>
      <c r="Q2" s="8"/>
      <c r="R2" s="8"/>
      <c r="S2" s="8"/>
      <c r="T2" s="8"/>
      <c r="U2" s="9"/>
    </row>
    <row r="3" ht="7.5" customHeight="1">
      <c r="A3" s="3"/>
      <c r="B3" s="10"/>
      <c r="C3" s="10"/>
      <c r="D3" s="10"/>
      <c r="E3" s="11"/>
      <c r="F3" s="11"/>
      <c r="G3" s="11"/>
      <c r="H3" s="11"/>
      <c r="I3" s="11"/>
      <c r="K3" s="12"/>
    </row>
    <row r="4" ht="18.75" customHeight="1">
      <c r="A4" s="13"/>
      <c r="B4" s="14"/>
      <c r="C4" s="15" t="s">
        <v>3</v>
      </c>
      <c r="D4" s="15" t="s">
        <v>4</v>
      </c>
      <c r="E4" s="15" t="s">
        <v>5</v>
      </c>
      <c r="F4" s="15" t="s">
        <v>6</v>
      </c>
      <c r="G4" s="15" t="s">
        <v>7</v>
      </c>
      <c r="H4" s="15" t="s">
        <v>8</v>
      </c>
      <c r="I4" s="16" t="s">
        <v>9</v>
      </c>
      <c r="J4" s="17"/>
      <c r="K4" s="18" t="str">
        <f> IF(ISBLANK(Ch1_Name),"Character 1",Ch1_Name)</f>
        <v>Character 1</v>
      </c>
      <c r="L4" s="19"/>
      <c r="M4" s="20"/>
      <c r="N4" s="2"/>
      <c r="O4" s="21" t="str">
        <f> IF(ISBLANK(Ch2_Name),"Character 2",Ch2_Name)</f>
        <v>Character 2</v>
      </c>
      <c r="P4" s="22"/>
      <c r="Q4" s="23"/>
      <c r="R4" s="2"/>
      <c r="S4" s="24" t="str">
        <f> IF(ISBLANK(Ch3_Name),"Character 3",Ch3_Name)</f>
        <v>Character 3</v>
      </c>
      <c r="T4" s="25"/>
      <c r="U4" s="26"/>
      <c r="V4" s="17"/>
      <c r="W4" s="17"/>
      <c r="X4" s="17"/>
      <c r="Y4" s="17"/>
      <c r="Z4" s="17"/>
      <c r="AA4" s="17"/>
      <c r="AB4" s="17"/>
      <c r="AC4" s="17"/>
      <c r="AD4" s="17"/>
    </row>
    <row r="5" ht="18.75" customHeight="1">
      <c r="A5" s="3"/>
      <c r="B5" s="27">
        <v>1.0</v>
      </c>
      <c r="C5" s="28"/>
      <c r="D5" s="29"/>
      <c r="E5" s="30"/>
      <c r="F5" s="31"/>
      <c r="G5" s="29"/>
      <c r="H5" s="29"/>
      <c r="I5" s="32"/>
      <c r="K5" s="33"/>
      <c r="L5" s="34" t="s">
        <v>10</v>
      </c>
      <c r="M5" s="35" t="s">
        <v>11</v>
      </c>
      <c r="N5" s="3"/>
      <c r="O5" s="36"/>
      <c r="P5" s="37" t="s">
        <v>10</v>
      </c>
      <c r="Q5" s="38" t="s">
        <v>11</v>
      </c>
      <c r="R5" s="3"/>
      <c r="S5" s="39"/>
      <c r="T5" s="40" t="s">
        <v>10</v>
      </c>
      <c r="U5" s="41" t="s">
        <v>11</v>
      </c>
    </row>
    <row r="6" ht="18.75" customHeight="1">
      <c r="A6" s="3"/>
      <c r="B6" s="42">
        <v>2.0</v>
      </c>
      <c r="C6" s="43"/>
      <c r="D6" s="44"/>
      <c r="E6" s="45"/>
      <c r="F6" s="46"/>
      <c r="G6" s="44"/>
      <c r="H6" s="44"/>
      <c r="I6" s="47"/>
      <c r="K6" s="48">
        <v>1.0</v>
      </c>
      <c r="L6" s="49"/>
      <c r="M6" s="50"/>
      <c r="N6" s="2"/>
      <c r="O6" s="51">
        <v>1.0</v>
      </c>
      <c r="P6" s="52"/>
      <c r="Q6" s="53"/>
      <c r="R6" s="3"/>
      <c r="S6" s="54">
        <v>1.0</v>
      </c>
      <c r="T6" s="55"/>
      <c r="U6" s="56"/>
    </row>
    <row r="7" ht="18.75" customHeight="1">
      <c r="A7" s="3"/>
      <c r="B7" s="57">
        <v>3.0</v>
      </c>
      <c r="C7" s="58"/>
      <c r="D7" s="59"/>
      <c r="E7" s="60"/>
      <c r="F7" s="61"/>
      <c r="G7" s="59"/>
      <c r="H7" s="59"/>
      <c r="I7" s="62"/>
      <c r="K7" s="63">
        <v>2.0</v>
      </c>
      <c r="L7" s="64"/>
      <c r="M7" s="65"/>
      <c r="N7" s="2"/>
      <c r="O7" s="66">
        <v>2.0</v>
      </c>
      <c r="P7" s="67"/>
      <c r="Q7" s="68"/>
      <c r="R7" s="3"/>
      <c r="S7" s="69">
        <v>2.0</v>
      </c>
      <c r="T7" s="70"/>
      <c r="U7" s="71"/>
    </row>
    <row r="8" ht="18.75" customHeight="1">
      <c r="A8" s="3"/>
      <c r="B8" s="72">
        <v>4.0</v>
      </c>
      <c r="C8" s="73"/>
      <c r="D8" s="74"/>
      <c r="E8" s="75"/>
      <c r="F8" s="76"/>
      <c r="G8" s="74"/>
      <c r="H8" s="74"/>
      <c r="I8" s="77"/>
      <c r="K8" s="48">
        <v>3.0</v>
      </c>
      <c r="L8" s="49"/>
      <c r="M8" s="50"/>
      <c r="N8" s="2"/>
      <c r="O8" s="51">
        <v>3.0</v>
      </c>
      <c r="P8" s="78"/>
      <c r="Q8" s="79"/>
      <c r="R8" s="3"/>
      <c r="S8" s="54">
        <v>3.0</v>
      </c>
      <c r="T8" s="80"/>
      <c r="U8" s="81"/>
    </row>
    <row r="9" ht="18.75" customHeight="1">
      <c r="A9" s="3"/>
      <c r="B9" s="82">
        <v>5.0</v>
      </c>
      <c r="C9" s="83"/>
      <c r="D9" s="84"/>
      <c r="E9" s="85"/>
      <c r="F9" s="86"/>
      <c r="G9" s="84"/>
      <c r="H9" s="84"/>
      <c r="I9" s="87"/>
      <c r="K9" s="63">
        <v>4.0</v>
      </c>
      <c r="L9" s="64"/>
      <c r="M9" s="65"/>
      <c r="N9" s="2"/>
      <c r="O9" s="66">
        <v>4.0</v>
      </c>
      <c r="P9" s="67"/>
      <c r="Q9" s="68"/>
      <c r="R9" s="3"/>
      <c r="S9" s="69">
        <v>4.0</v>
      </c>
      <c r="T9" s="70"/>
      <c r="U9" s="71"/>
    </row>
    <row r="10" ht="18.75" customHeight="1">
      <c r="A10" s="3"/>
      <c r="B10" s="88">
        <v>6.0</v>
      </c>
      <c r="C10" s="89"/>
      <c r="D10" s="90"/>
      <c r="E10" s="91"/>
      <c r="F10" s="92"/>
      <c r="G10" s="90"/>
      <c r="H10" s="90"/>
      <c r="I10" s="93"/>
      <c r="K10" s="48">
        <v>5.0</v>
      </c>
      <c r="L10" s="49"/>
      <c r="M10" s="50"/>
      <c r="N10" s="2"/>
      <c r="O10" s="51">
        <v>5.0</v>
      </c>
      <c r="P10" s="78"/>
      <c r="Q10" s="79"/>
      <c r="R10" s="3"/>
      <c r="S10" s="54">
        <v>5.0</v>
      </c>
      <c r="T10" s="80"/>
      <c r="U10" s="81"/>
    </row>
    <row r="11" ht="18.75" customHeight="1">
      <c r="A11" s="3"/>
      <c r="B11" s="94">
        <v>7.0</v>
      </c>
      <c r="C11" s="95"/>
      <c r="D11" s="96"/>
      <c r="E11" s="97"/>
      <c r="F11" s="98"/>
      <c r="G11" s="96"/>
      <c r="H11" s="96"/>
      <c r="I11" s="99"/>
      <c r="K11" s="63">
        <v>6.0</v>
      </c>
      <c r="L11" s="64"/>
      <c r="M11" s="65"/>
      <c r="N11" s="2"/>
      <c r="O11" s="66">
        <v>6.0</v>
      </c>
      <c r="P11" s="67"/>
      <c r="Q11" s="68"/>
      <c r="R11" s="3"/>
      <c r="S11" s="69">
        <v>6.0</v>
      </c>
      <c r="T11" s="70"/>
      <c r="U11" s="71"/>
    </row>
    <row r="12" ht="18.75" customHeight="1">
      <c r="A12" s="3"/>
      <c r="B12" s="100">
        <v>8.0</v>
      </c>
      <c r="C12" s="101"/>
      <c r="D12" s="102"/>
      <c r="E12" s="103"/>
      <c r="F12" s="104"/>
      <c r="G12" s="102"/>
      <c r="H12" s="102"/>
      <c r="I12" s="105"/>
      <c r="K12" s="48">
        <v>7.0</v>
      </c>
      <c r="L12" s="49"/>
      <c r="M12" s="50"/>
      <c r="N12" s="2"/>
      <c r="O12" s="51">
        <v>7.0</v>
      </c>
      <c r="P12" s="78"/>
      <c r="Q12" s="79"/>
      <c r="R12" s="3"/>
      <c r="S12" s="54">
        <v>7.0</v>
      </c>
      <c r="T12" s="80"/>
      <c r="U12" s="81"/>
    </row>
    <row r="13" ht="18.75" customHeight="1">
      <c r="A13" s="3"/>
      <c r="B13" s="106">
        <v>9.0</v>
      </c>
      <c r="C13" s="107"/>
      <c r="D13" s="108"/>
      <c r="E13" s="109"/>
      <c r="F13" s="110"/>
      <c r="G13" s="108"/>
      <c r="H13" s="108"/>
      <c r="I13" s="111"/>
      <c r="K13" s="63">
        <v>8.0</v>
      </c>
      <c r="L13" s="64"/>
      <c r="M13" s="65"/>
      <c r="N13" s="2"/>
      <c r="O13" s="66">
        <v>8.0</v>
      </c>
      <c r="P13" s="67"/>
      <c r="Q13" s="68"/>
      <c r="R13" s="3"/>
      <c r="S13" s="69">
        <v>8.0</v>
      </c>
      <c r="T13" s="70"/>
      <c r="U13" s="71"/>
    </row>
    <row r="14" ht="18.75" customHeight="1">
      <c r="A14" s="112"/>
      <c r="B14" s="113"/>
      <c r="C14" s="113"/>
      <c r="D14" s="113"/>
      <c r="E14" s="113"/>
      <c r="F14" s="113"/>
      <c r="G14" s="113"/>
      <c r="H14" s="113"/>
      <c r="I14" s="113"/>
      <c r="J14" s="114"/>
      <c r="K14" s="48">
        <v>9.0</v>
      </c>
      <c r="L14" s="49"/>
      <c r="M14" s="50"/>
      <c r="N14" s="2"/>
      <c r="O14" s="51">
        <v>9.0</v>
      </c>
      <c r="P14" s="78"/>
      <c r="Q14" s="79"/>
      <c r="R14" s="3"/>
      <c r="S14" s="54">
        <v>9.0</v>
      </c>
      <c r="T14" s="80"/>
      <c r="U14" s="81"/>
      <c r="V14" s="114"/>
      <c r="W14" s="114"/>
      <c r="X14" s="114"/>
      <c r="Y14" s="114"/>
      <c r="Z14" s="114"/>
      <c r="AA14" s="114"/>
      <c r="AB14" s="114"/>
      <c r="AC14" s="114"/>
      <c r="AD14" s="114"/>
    </row>
    <row r="15" ht="18.75" customHeight="1">
      <c r="B15" s="115" t="str">
        <f>IMAGE(B38,1)</f>
        <v/>
      </c>
      <c r="K15" s="116">
        <v>10.0</v>
      </c>
      <c r="L15" s="117"/>
      <c r="M15" s="118"/>
      <c r="N15" s="2"/>
      <c r="O15" s="119">
        <v>10.0</v>
      </c>
      <c r="P15" s="120"/>
      <c r="Q15" s="121"/>
      <c r="R15" s="3"/>
      <c r="S15" s="122">
        <v>10.0</v>
      </c>
      <c r="T15" s="123"/>
      <c r="U15" s="124"/>
    </row>
    <row r="16" ht="7.5" customHeight="1">
      <c r="A16" s="125"/>
      <c r="J16" s="126"/>
      <c r="K16" s="127"/>
      <c r="L16" s="128"/>
      <c r="M16" s="128"/>
      <c r="N16" s="128"/>
      <c r="O16" s="129"/>
      <c r="P16" s="128"/>
      <c r="Q16" s="128"/>
      <c r="R16" s="128"/>
      <c r="S16" s="128"/>
      <c r="T16" s="128"/>
      <c r="U16" s="128"/>
      <c r="V16" s="126"/>
      <c r="W16" s="126"/>
      <c r="X16" s="126"/>
      <c r="Y16" s="126"/>
      <c r="Z16" s="126"/>
      <c r="AA16" s="126"/>
      <c r="AB16" s="126"/>
      <c r="AC16" s="126"/>
      <c r="AD16" s="126"/>
    </row>
    <row r="17" ht="18.75" customHeight="1">
      <c r="A17" s="130"/>
      <c r="K17" s="131" t="str">
        <f> IF(ISBLANK(Ch4_Name),"Character 4",Ch4_Name)</f>
        <v>Character 4</v>
      </c>
      <c r="L17" s="132"/>
      <c r="M17" s="133"/>
      <c r="N17" s="2"/>
      <c r="O17" s="134" t="str">
        <f> IF(ISBLANK(Ch5_Name),"Character 5",Ch5_Name)</f>
        <v>Character 5</v>
      </c>
      <c r="P17" s="135"/>
      <c r="Q17" s="136"/>
      <c r="R17" s="2"/>
      <c r="S17" s="137" t="str">
        <f> IF(ISBLANK(Ch6_Name),"Character 6",Ch6_Name)</f>
        <v>Character 6</v>
      </c>
      <c r="T17" s="138"/>
      <c r="U17" s="139"/>
    </row>
    <row r="18" ht="18.75" customHeight="1">
      <c r="A18" s="130"/>
      <c r="K18" s="140"/>
      <c r="L18" s="141" t="s">
        <v>10</v>
      </c>
      <c r="M18" s="142" t="s">
        <v>11</v>
      </c>
      <c r="N18" s="3"/>
      <c r="O18" s="143"/>
      <c r="P18" s="144" t="s">
        <v>10</v>
      </c>
      <c r="Q18" s="145" t="s">
        <v>11</v>
      </c>
      <c r="R18" s="3"/>
      <c r="S18" s="146"/>
      <c r="T18" s="147" t="s">
        <v>10</v>
      </c>
      <c r="U18" s="148" t="s">
        <v>11</v>
      </c>
    </row>
    <row r="19" ht="18.75" customHeight="1">
      <c r="A19" s="130"/>
      <c r="K19" s="149">
        <v>1.0</v>
      </c>
      <c r="L19" s="150"/>
      <c r="M19" s="151"/>
      <c r="N19" s="2"/>
      <c r="O19" s="152">
        <v>1.0</v>
      </c>
      <c r="P19" s="153"/>
      <c r="Q19" s="154"/>
      <c r="R19" s="3"/>
      <c r="S19" s="155">
        <v>1.0</v>
      </c>
      <c r="T19" s="156"/>
      <c r="U19" s="157"/>
    </row>
    <row r="20" ht="18.75" customHeight="1">
      <c r="A20" s="130"/>
      <c r="K20" s="158">
        <v>2.0</v>
      </c>
      <c r="L20" s="159"/>
      <c r="M20" s="160"/>
      <c r="N20" s="2"/>
      <c r="O20" s="161">
        <v>2.0</v>
      </c>
      <c r="P20" s="162"/>
      <c r="Q20" s="163"/>
      <c r="R20" s="3"/>
      <c r="S20" s="164">
        <v>2.0</v>
      </c>
      <c r="T20" s="165"/>
      <c r="U20" s="166"/>
    </row>
    <row r="21" ht="18.75" customHeight="1">
      <c r="A21" s="130"/>
      <c r="K21" s="149">
        <v>3.0</v>
      </c>
      <c r="L21" s="167"/>
      <c r="M21" s="168"/>
      <c r="N21" s="2"/>
      <c r="O21" s="152">
        <v>3.0</v>
      </c>
      <c r="P21" s="169"/>
      <c r="Q21" s="154"/>
      <c r="R21" s="3"/>
      <c r="S21" s="155">
        <v>3.0</v>
      </c>
      <c r="T21" s="170"/>
      <c r="U21" s="171"/>
    </row>
    <row r="22" ht="18.75" customHeight="1">
      <c r="A22" s="130"/>
      <c r="K22" s="158">
        <v>4.0</v>
      </c>
      <c r="L22" s="172"/>
      <c r="M22" s="173"/>
      <c r="N22" s="2"/>
      <c r="O22" s="161">
        <v>4.0</v>
      </c>
      <c r="P22" s="174"/>
      <c r="Q22" s="163"/>
      <c r="R22" s="3"/>
      <c r="S22" s="164">
        <v>4.0</v>
      </c>
      <c r="T22" s="165"/>
      <c r="U22" s="166"/>
    </row>
    <row r="23" ht="18.75" customHeight="1">
      <c r="A23" s="130"/>
      <c r="K23" s="149">
        <v>5.0</v>
      </c>
      <c r="L23" s="175"/>
      <c r="M23" s="176"/>
      <c r="N23" s="2"/>
      <c r="O23" s="152">
        <v>5.0</v>
      </c>
      <c r="P23" s="177"/>
      <c r="Q23" s="154"/>
      <c r="R23" s="3"/>
      <c r="S23" s="155">
        <v>5.0</v>
      </c>
      <c r="T23" s="170"/>
      <c r="U23" s="171"/>
    </row>
    <row r="24" ht="18.75" customHeight="1">
      <c r="A24" s="130"/>
      <c r="K24" s="158">
        <v>6.0</v>
      </c>
      <c r="L24" s="172"/>
      <c r="M24" s="173"/>
      <c r="N24" s="2"/>
      <c r="O24" s="161">
        <v>6.0</v>
      </c>
      <c r="P24" s="174"/>
      <c r="Q24" s="163"/>
      <c r="R24" s="3"/>
      <c r="S24" s="164">
        <v>6.0</v>
      </c>
      <c r="T24" s="165"/>
      <c r="U24" s="166"/>
    </row>
    <row r="25" ht="18.75" customHeight="1">
      <c r="A25" s="130"/>
      <c r="K25" s="149">
        <v>7.0</v>
      </c>
      <c r="L25" s="175"/>
      <c r="M25" s="176"/>
      <c r="N25" s="2"/>
      <c r="O25" s="152">
        <v>7.0</v>
      </c>
      <c r="P25" s="177"/>
      <c r="Q25" s="154"/>
      <c r="R25" s="3"/>
      <c r="S25" s="155">
        <v>7.0</v>
      </c>
      <c r="T25" s="170"/>
      <c r="U25" s="171"/>
    </row>
    <row r="26" ht="18.75" customHeight="1">
      <c r="A26" s="130"/>
      <c r="K26" s="158">
        <v>8.0</v>
      </c>
      <c r="L26" s="172"/>
      <c r="M26" s="173"/>
      <c r="N26" s="2"/>
      <c r="O26" s="161">
        <v>8.0</v>
      </c>
      <c r="P26" s="174"/>
      <c r="Q26" s="163"/>
      <c r="R26" s="3"/>
      <c r="S26" s="164">
        <v>8.0</v>
      </c>
      <c r="T26" s="165"/>
      <c r="U26" s="166"/>
    </row>
    <row r="27" ht="18.75" customHeight="1">
      <c r="K27" s="149">
        <v>9.0</v>
      </c>
      <c r="L27" s="175"/>
      <c r="M27" s="176"/>
      <c r="N27" s="2"/>
      <c r="O27" s="152">
        <v>9.0</v>
      </c>
      <c r="P27" s="178"/>
      <c r="Q27" s="179"/>
      <c r="R27" s="3"/>
      <c r="S27" s="155">
        <v>9.0</v>
      </c>
      <c r="T27" s="180"/>
      <c r="U27" s="181"/>
    </row>
    <row r="28" ht="18.75" customHeight="1">
      <c r="K28" s="182">
        <v>10.0</v>
      </c>
      <c r="L28" s="183"/>
      <c r="M28" s="184"/>
      <c r="N28" s="2"/>
      <c r="O28" s="185">
        <v>10.0</v>
      </c>
      <c r="P28" s="186"/>
      <c r="Q28" s="187"/>
      <c r="R28" s="3"/>
      <c r="S28" s="188">
        <v>10.0</v>
      </c>
      <c r="T28" s="189"/>
      <c r="U28" s="190"/>
    </row>
    <row r="29" ht="7.5" customHeight="1">
      <c r="A29" s="126"/>
      <c r="J29" s="126"/>
      <c r="K29" s="127"/>
      <c r="L29" s="128"/>
      <c r="M29" s="128"/>
      <c r="N29" s="128"/>
      <c r="O29" s="127"/>
      <c r="P29" s="128"/>
      <c r="Q29" s="128"/>
      <c r="R29" s="128"/>
      <c r="S29" s="128"/>
      <c r="T29" s="128"/>
      <c r="U29" s="128"/>
      <c r="V29" s="126"/>
      <c r="W29" s="126"/>
      <c r="X29" s="126"/>
      <c r="Y29" s="126"/>
      <c r="Z29" s="126"/>
      <c r="AA29" s="126"/>
      <c r="AB29" s="126"/>
      <c r="AC29" s="126"/>
      <c r="AD29" s="126"/>
    </row>
    <row r="30" ht="18.75" customHeight="1">
      <c r="K30" s="191" t="str">
        <f> IF(ISBLANK(Ch7_Name),"Character 7",Ch7_Name)</f>
        <v>Character 7</v>
      </c>
      <c r="L30" s="192"/>
      <c r="M30" s="193"/>
      <c r="N30" s="2"/>
      <c r="O30" s="194" t="str">
        <f> IF(ISBLANK(Ch8_Name),"Character 8",Ch8_Name)</f>
        <v>Character 8</v>
      </c>
      <c r="P30" s="195"/>
      <c r="Q30" s="196"/>
      <c r="R30" s="2"/>
      <c r="S30" s="197" t="str">
        <f> IF(ISBLANK(Ch9_Name),"Character 9",Ch9_Name)</f>
        <v>Character 9</v>
      </c>
      <c r="T30" s="198"/>
      <c r="U30" s="199"/>
    </row>
    <row r="31" ht="18.75" customHeight="1">
      <c r="K31" s="200"/>
      <c r="L31" s="201" t="s">
        <v>10</v>
      </c>
      <c r="M31" s="202" t="s">
        <v>11</v>
      </c>
      <c r="N31" s="3"/>
      <c r="O31" s="203"/>
      <c r="P31" s="204" t="s">
        <v>10</v>
      </c>
      <c r="Q31" s="205" t="s">
        <v>11</v>
      </c>
      <c r="R31" s="3"/>
      <c r="S31" s="206"/>
      <c r="T31" s="207" t="s">
        <v>10</v>
      </c>
      <c r="U31" s="208" t="s">
        <v>11</v>
      </c>
    </row>
    <row r="32" ht="18.75" customHeight="1">
      <c r="K32" s="209">
        <v>1.0</v>
      </c>
      <c r="L32" s="210"/>
      <c r="M32" s="211"/>
      <c r="N32" s="2"/>
      <c r="O32" s="212">
        <v>1.0</v>
      </c>
      <c r="P32" s="213"/>
      <c r="Q32" s="214"/>
      <c r="R32" s="3"/>
      <c r="S32" s="215">
        <v>1.0</v>
      </c>
      <c r="T32" s="216"/>
      <c r="U32" s="217"/>
    </row>
    <row r="33" ht="18.75" customHeight="1">
      <c r="K33" s="218">
        <v>2.0</v>
      </c>
      <c r="L33" s="219"/>
      <c r="M33" s="220"/>
      <c r="N33" s="2"/>
      <c r="O33" s="221">
        <v>2.0</v>
      </c>
      <c r="P33" s="222"/>
      <c r="Q33" s="223"/>
      <c r="R33" s="3"/>
      <c r="S33" s="224">
        <v>2.0</v>
      </c>
      <c r="T33" s="225"/>
      <c r="U33" s="226"/>
    </row>
    <row r="34" ht="18.75" customHeight="1">
      <c r="K34" s="209">
        <v>3.0</v>
      </c>
      <c r="L34" s="227"/>
      <c r="M34" s="228"/>
      <c r="N34" s="2"/>
      <c r="O34" s="212">
        <v>3.0</v>
      </c>
      <c r="P34" s="229"/>
      <c r="Q34" s="230"/>
      <c r="R34" s="3"/>
      <c r="S34" s="215">
        <v>3.0</v>
      </c>
      <c r="T34" s="231"/>
      <c r="U34" s="232"/>
    </row>
    <row r="35" ht="18.75" customHeight="1">
      <c r="K35" s="218">
        <v>4.0</v>
      </c>
      <c r="L35" s="219"/>
      <c r="M35" s="220"/>
      <c r="N35" s="2"/>
      <c r="O35" s="221">
        <v>4.0</v>
      </c>
      <c r="P35" s="233"/>
      <c r="Q35" s="234"/>
      <c r="R35" s="3"/>
      <c r="S35" s="224">
        <v>4.0</v>
      </c>
      <c r="T35" s="225"/>
      <c r="U35" s="226"/>
    </row>
    <row r="36" ht="18.75" customHeight="1">
      <c r="K36" s="209">
        <v>5.0</v>
      </c>
      <c r="L36" s="227"/>
      <c r="M36" s="228"/>
      <c r="N36" s="2"/>
      <c r="O36" s="212">
        <v>5.0</v>
      </c>
      <c r="P36" s="235"/>
      <c r="Q36" s="236"/>
      <c r="R36" s="3"/>
      <c r="S36" s="215">
        <v>5.0</v>
      </c>
      <c r="T36" s="231"/>
      <c r="U36" s="232"/>
    </row>
    <row r="37" ht="18.75" customHeight="1">
      <c r="K37" s="218">
        <v>6.0</v>
      </c>
      <c r="L37" s="219"/>
      <c r="M37" s="220"/>
      <c r="N37" s="2"/>
      <c r="O37" s="221">
        <v>6.0</v>
      </c>
      <c r="P37" s="233"/>
      <c r="Q37" s="234"/>
      <c r="R37" s="3"/>
      <c r="S37" s="224">
        <v>6.0</v>
      </c>
      <c r="T37" s="225"/>
      <c r="U37" s="226"/>
    </row>
    <row r="38" ht="18.75" customHeight="1">
      <c r="B38" s="237" t="s">
        <v>12</v>
      </c>
      <c r="K38" s="209">
        <v>7.0</v>
      </c>
      <c r="L38" s="227"/>
      <c r="M38" s="228"/>
      <c r="N38" s="2"/>
      <c r="O38" s="212">
        <v>7.0</v>
      </c>
      <c r="P38" s="235"/>
      <c r="Q38" s="236"/>
      <c r="R38" s="3"/>
      <c r="S38" s="215">
        <v>7.0</v>
      </c>
      <c r="T38" s="231"/>
      <c r="U38" s="232"/>
    </row>
    <row r="39" ht="18.75" customHeight="1">
      <c r="K39" s="218">
        <v>8.0</v>
      </c>
      <c r="L39" s="219"/>
      <c r="M39" s="220"/>
      <c r="N39" s="2"/>
      <c r="O39" s="221">
        <v>8.0</v>
      </c>
      <c r="P39" s="233"/>
      <c r="Q39" s="234"/>
      <c r="R39" s="3"/>
      <c r="S39" s="224">
        <v>8.0</v>
      </c>
      <c r="T39" s="225"/>
      <c r="U39" s="226"/>
    </row>
    <row r="40" ht="18.75" customHeight="1">
      <c r="K40" s="209">
        <v>9.0</v>
      </c>
      <c r="L40" s="227"/>
      <c r="M40" s="228"/>
      <c r="N40" s="2"/>
      <c r="O40" s="212">
        <v>9.0</v>
      </c>
      <c r="P40" s="235"/>
      <c r="Q40" s="236"/>
      <c r="R40" s="3"/>
      <c r="S40" s="215">
        <v>9.0</v>
      </c>
      <c r="T40" s="231"/>
      <c r="U40" s="232"/>
    </row>
    <row r="41" ht="18.75" customHeight="1">
      <c r="K41" s="238">
        <v>10.0</v>
      </c>
      <c r="L41" s="239"/>
      <c r="M41" s="240"/>
      <c r="N41" s="2"/>
      <c r="O41" s="241">
        <v>10.0</v>
      </c>
      <c r="P41" s="242"/>
      <c r="Q41" s="243"/>
      <c r="R41" s="3"/>
      <c r="S41" s="244">
        <v>10.0</v>
      </c>
      <c r="T41" s="245"/>
      <c r="U41" s="246"/>
    </row>
    <row r="42" ht="7.5" customHeight="1">
      <c r="A42" s="126"/>
      <c r="B42" s="126"/>
      <c r="C42" s="126"/>
      <c r="D42" s="126"/>
      <c r="E42" s="126"/>
      <c r="F42" s="126"/>
      <c r="G42" s="126"/>
      <c r="H42" s="126"/>
      <c r="I42" s="126"/>
      <c r="J42" s="126"/>
      <c r="K42" s="127"/>
      <c r="L42" s="128"/>
      <c r="M42" s="128"/>
      <c r="N42" s="126"/>
      <c r="O42" s="127"/>
      <c r="P42" s="128"/>
      <c r="Q42" s="128"/>
      <c r="R42" s="126"/>
      <c r="S42" s="126"/>
      <c r="T42" s="126"/>
      <c r="U42" s="126"/>
      <c r="V42" s="126"/>
      <c r="W42" s="126"/>
      <c r="X42" s="126"/>
      <c r="Y42" s="126"/>
      <c r="Z42" s="126"/>
      <c r="AA42" s="126"/>
      <c r="AB42" s="126"/>
      <c r="AC42" s="126"/>
      <c r="AD42" s="126"/>
    </row>
  </sheetData>
  <mergeCells count="11">
    <mergeCell ref="K17:M17"/>
    <mergeCell ref="K30:M30"/>
    <mergeCell ref="O30:Q30"/>
    <mergeCell ref="S30:U30"/>
    <mergeCell ref="B2:I2"/>
    <mergeCell ref="K4:M4"/>
    <mergeCell ref="O4:Q4"/>
    <mergeCell ref="S4:U4"/>
    <mergeCell ref="B15:I37"/>
    <mergeCell ref="O17:Q17"/>
    <mergeCell ref="S17:U17"/>
  </mergeCells>
  <conditionalFormatting sqref="M6:M15 Q6:Q15 U6:U15 M19:M28 Q19:Q28 U19:U28 M32:M41 Q32:Q41 U32:U41">
    <cfRule type="expression" dxfId="0" priority="1">
      <formula>AND((NOT(ISBLANK(L6))),ISBLANK(M6))</formula>
    </cfRule>
  </conditionalFormatting>
  <conditionalFormatting sqref="D5:D13">
    <cfRule type="expression" dxfId="0" priority="2">
      <formula>AND((NOT(ISBLANK(C5))),ISBLANK(D5))</formula>
    </cfRule>
  </conditionalFormatting>
  <conditionalFormatting sqref="E5:E13">
    <cfRule type="expression" dxfId="0" priority="3">
      <formula>AND((NOT(ISBLANK(C5))),ISBLANK(E5))</formula>
    </cfRule>
  </conditionalFormatting>
  <conditionalFormatting sqref="F5:F13">
    <cfRule type="expression" dxfId="0" priority="4">
      <formula>AND((NOT(ISBLANK(G5))),ISBLANK(F5))</formula>
    </cfRule>
  </conditionalFormatting>
  <conditionalFormatting sqref="H5:H13">
    <cfRule type="expression" dxfId="0" priority="5">
      <formula>AND((NOT(ISBLANK(G5))),ISBLANK(H5))</formula>
    </cfRule>
  </conditionalFormatting>
  <conditionalFormatting sqref="I5:I13">
    <cfRule type="expression" dxfId="0" priority="6">
      <formula>AND((NOT(ISBLANK(G5))),ISBLANK(I5))</formula>
    </cfRule>
  </conditionalFormatting>
  <conditionalFormatting sqref="K4:M4">
    <cfRule type="expression" dxfId="1" priority="7">
      <formula>IF(ISBLANK($C$5),TRUE,FALSE)</formula>
    </cfRule>
  </conditionalFormatting>
  <conditionalFormatting sqref="K5:M15">
    <cfRule type="expression" dxfId="2" priority="8">
      <formula>IF(ISBLANK($C$5),TRUE,FALSE)</formula>
    </cfRule>
  </conditionalFormatting>
  <conditionalFormatting sqref="O4:Q4">
    <cfRule type="expression" dxfId="3" priority="9">
      <formula>IF(ISBLANK($C$6),TRUE,FALSE)</formula>
    </cfRule>
  </conditionalFormatting>
  <conditionalFormatting sqref="O5:Q15">
    <cfRule type="expression" dxfId="4" priority="10">
      <formula>IF(ISBLANK($C$6),TRUE,FALSE)</formula>
    </cfRule>
  </conditionalFormatting>
  <conditionalFormatting sqref="S4:U4">
    <cfRule type="expression" dxfId="5" priority="11">
      <formula>IF(ISBLANK($C$7),TRUE,FALSE)</formula>
    </cfRule>
  </conditionalFormatting>
  <conditionalFormatting sqref="S5:U15">
    <cfRule type="expression" dxfId="6" priority="12">
      <formula>IF(ISBLANK($C$7),TRUE,FALSE)</formula>
    </cfRule>
  </conditionalFormatting>
  <conditionalFormatting sqref="K17:M17">
    <cfRule type="expression" dxfId="7" priority="13">
      <formula>IF(ISBLANK($C$8),TRUE,FALSE)</formula>
    </cfRule>
  </conditionalFormatting>
  <conditionalFormatting sqref="K18:M28">
    <cfRule type="expression" dxfId="8" priority="14">
      <formula>IF(ISBLANK($C$8),TRUE,FALSE)</formula>
    </cfRule>
  </conditionalFormatting>
  <conditionalFormatting sqref="O17:Q17">
    <cfRule type="expression" dxfId="9" priority="15">
      <formula>IF(ISBLANK($C$9),TRUE,FALSE)</formula>
    </cfRule>
  </conditionalFormatting>
  <conditionalFormatting sqref="O18:Q28">
    <cfRule type="expression" dxfId="10" priority="16">
      <formula>IF(ISBLANK($C$9),TRUE,FALSE)</formula>
    </cfRule>
  </conditionalFormatting>
  <conditionalFormatting sqref="S17:U17">
    <cfRule type="expression" dxfId="11" priority="17">
      <formula>IF(ISBLANK($C$10),TRUE,FALSE)</formula>
    </cfRule>
  </conditionalFormatting>
  <conditionalFormatting sqref="S18:U28">
    <cfRule type="expression" dxfId="12" priority="18">
      <formula>IF(ISBLANK($C$10),TRUE,FALSE)</formula>
    </cfRule>
  </conditionalFormatting>
  <conditionalFormatting sqref="K30:M30">
    <cfRule type="expression" dxfId="13" priority="19">
      <formula>IF(ISBLANK($C$11),TRUE,FALSE)</formula>
    </cfRule>
  </conditionalFormatting>
  <conditionalFormatting sqref="K31:M41">
    <cfRule type="expression" dxfId="14" priority="20">
      <formula>IF(ISBLANK($C$11),TRUE,FALSE)</formula>
    </cfRule>
  </conditionalFormatting>
  <conditionalFormatting sqref="O30:Q30">
    <cfRule type="expression" dxfId="15" priority="21">
      <formula>IF(ISBLANK($C$12),TRUE,FALSE)</formula>
    </cfRule>
  </conditionalFormatting>
  <conditionalFormatting sqref="O31:Q41">
    <cfRule type="expression" dxfId="16" priority="22">
      <formula>IF(ISBLANK($C$12),TRUE,FALSE)</formula>
    </cfRule>
  </conditionalFormatting>
  <conditionalFormatting sqref="S30:U30">
    <cfRule type="expression" dxfId="17" priority="23">
      <formula>IF(ISBLANK($C$13),TRUE,FALSE)</formula>
    </cfRule>
  </conditionalFormatting>
  <conditionalFormatting sqref="S31:U41">
    <cfRule type="expression" dxfId="18" priority="24">
      <formula>IF(ISBLANK($C$13),TRUE,FALSE)</formula>
    </cfRule>
  </conditionalFormatting>
  <dataValidations>
    <dataValidation type="decimal" allowBlank="1" showDropDown="1" showInputMessage="1" prompt="Your PC must have a Strength." sqref="E5:E13">
      <formula1>1.0</formula1>
      <formula2>30.0</formula2>
    </dataValidation>
    <dataValidation type="decimal" allowBlank="1" showDropDown="1" showInputMessage="1" prompt="Your PC must have a weight if you have a mount." sqref="F5:F13">
      <formula1>1.0</formula1>
      <formula2>600.0</formula2>
    </dataValidation>
    <dataValidation type="list" allowBlank="1" showErrorMessage="1" sqref="Q6:Q15 U6:U15 M19:M28 Q19:Q28 U19:U28 M32:M41 Q32:Q41 U32:U41">
      <formula1>"On Character,On Mount,Permanent Location,Extradimensional"</formula1>
    </dataValidation>
    <dataValidation type="list" allowBlank="1" showInputMessage="1" prompt="Your mount must have a size." sqref="H5:H13">
      <formula1>"Medium,Large,Huge"</formula1>
    </dataValidation>
    <dataValidation type="decimal" allowBlank="1" showDropDown="1" showInputMessage="1" prompt="Your mount must have a Strength." sqref="I5:I13">
      <formula1>1.0</formula1>
      <formula2>30.0</formula2>
    </dataValidation>
    <dataValidation type="list" allowBlank="1" showInputMessage="1" prompt="Your PC must have a size." sqref="D5:D13">
      <formula1>"Medium,Large"</formula1>
    </dataValidation>
    <dataValidation type="list" allowBlank="1" showInputMessage="1" showErrorMessage="1" prompt="You must choose an option from the list for each storage item" sqref="M6:M15">
      <formula1>"On Character,On Mount,Permanent Location,Extradimensional"</formula1>
    </dataValidation>
  </dataValidations>
  <hyperlinks>
    <hyperlink r:id="rId2" ref="B38"/>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4.43" defaultRowHeight="15.75"/>
  <cols>
    <col customWidth="1" min="1" max="1" width="1.57"/>
    <col customWidth="1" min="2" max="2" width="3.71"/>
    <col customWidth="1" min="4" max="11" width="17.29"/>
    <col customWidth="1" min="12" max="12" width="1.57"/>
  </cols>
  <sheetData>
    <row r="1" ht="7.5" customHeight="1">
      <c r="A1" s="247" t="s">
        <v>13</v>
      </c>
      <c r="B1" s="12"/>
      <c r="C1" s="2"/>
      <c r="D1" s="2"/>
      <c r="E1" s="2"/>
      <c r="F1" s="2"/>
      <c r="G1" s="248" t="s">
        <v>14</v>
      </c>
      <c r="H1" s="12"/>
      <c r="I1" s="2"/>
      <c r="J1" s="2"/>
      <c r="L1" s="2"/>
    </row>
    <row r="2" ht="18.75" customHeight="1">
      <c r="A2" s="249"/>
      <c r="B2" s="250" t="s">
        <v>15</v>
      </c>
      <c r="C2" s="251"/>
      <c r="D2" s="252"/>
      <c r="E2" s="252"/>
      <c r="F2" s="253"/>
      <c r="G2" s="254" t="str">
        <f>IMAGE(G1,1)</f>
        <v/>
      </c>
      <c r="I2" s="250" t="s">
        <v>16</v>
      </c>
      <c r="J2" s="252"/>
      <c r="K2" s="253"/>
      <c r="L2" s="2"/>
    </row>
    <row r="3" ht="18.75" customHeight="1">
      <c r="A3" s="13"/>
      <c r="B3" s="255"/>
      <c r="C3" s="256" t="s">
        <v>3</v>
      </c>
      <c r="D3" s="256" t="s">
        <v>17</v>
      </c>
      <c r="E3" s="256" t="s">
        <v>4</v>
      </c>
      <c r="F3" s="257" t="s">
        <v>5</v>
      </c>
      <c r="I3" s="258" t="s">
        <v>3</v>
      </c>
      <c r="J3" s="259" t="s">
        <v>18</v>
      </c>
      <c r="K3" s="260" t="s">
        <v>19</v>
      </c>
      <c r="L3" s="261"/>
    </row>
    <row r="4" ht="18.75" customHeight="1">
      <c r="A4" s="3"/>
      <c r="B4" s="262">
        <v>1.0</v>
      </c>
      <c r="C4" s="263"/>
      <c r="D4" s="264"/>
      <c r="E4" s="263"/>
      <c r="F4" s="265"/>
      <c r="I4" s="262"/>
      <c r="J4" s="263"/>
      <c r="K4" s="265"/>
      <c r="L4" s="2"/>
    </row>
    <row r="5" ht="18.75" customHeight="1">
      <c r="A5" s="3"/>
      <c r="B5" s="262">
        <v>2.0</v>
      </c>
      <c r="C5" s="263"/>
      <c r="D5" s="264"/>
      <c r="E5" s="263"/>
      <c r="F5" s="265"/>
      <c r="I5" s="262"/>
      <c r="J5" s="263"/>
      <c r="K5" s="265"/>
      <c r="L5" s="2"/>
    </row>
    <row r="6" ht="18.75" customHeight="1">
      <c r="A6" s="3"/>
      <c r="B6" s="262">
        <v>3.0</v>
      </c>
      <c r="C6" s="263"/>
      <c r="D6" s="264"/>
      <c r="E6" s="263"/>
      <c r="F6" s="265"/>
      <c r="I6" s="262"/>
      <c r="J6" s="263"/>
      <c r="K6" s="265"/>
      <c r="L6" s="2"/>
    </row>
    <row r="7" ht="18.75" customHeight="1">
      <c r="A7" s="3"/>
      <c r="B7" s="262">
        <v>4.0</v>
      </c>
      <c r="C7" s="263"/>
      <c r="D7" s="266"/>
      <c r="E7" s="267"/>
      <c r="F7" s="268"/>
      <c r="I7" s="262"/>
      <c r="J7" s="267"/>
      <c r="K7" s="268"/>
      <c r="L7" s="2"/>
    </row>
    <row r="8" ht="18.75" customHeight="1">
      <c r="A8" s="3"/>
      <c r="B8" s="262">
        <v>5.0</v>
      </c>
      <c r="C8" s="263"/>
      <c r="D8" s="266"/>
      <c r="E8" s="267"/>
      <c r="F8" s="268"/>
      <c r="I8" s="262"/>
      <c r="J8" s="267"/>
      <c r="K8" s="268"/>
      <c r="L8" s="2"/>
    </row>
    <row r="9" ht="18.75" customHeight="1">
      <c r="A9" s="3"/>
      <c r="B9" s="262">
        <v>6.0</v>
      </c>
      <c r="C9" s="263"/>
      <c r="D9" s="266"/>
      <c r="E9" s="267"/>
      <c r="F9" s="268"/>
      <c r="I9" s="262"/>
      <c r="J9" s="267"/>
      <c r="K9" s="268"/>
      <c r="L9" s="2"/>
    </row>
    <row r="10" ht="18.75" customHeight="1">
      <c r="A10" s="3"/>
      <c r="B10" s="262">
        <v>7.0</v>
      </c>
      <c r="C10" s="263"/>
      <c r="D10" s="266"/>
      <c r="E10" s="267"/>
      <c r="F10" s="268"/>
      <c r="I10" s="262"/>
      <c r="J10" s="267"/>
      <c r="K10" s="268"/>
      <c r="L10" s="2"/>
    </row>
    <row r="11" ht="18.75" customHeight="1">
      <c r="A11" s="3"/>
      <c r="B11" s="262">
        <v>8.0</v>
      </c>
      <c r="C11" s="263"/>
      <c r="D11" s="266"/>
      <c r="E11" s="267"/>
      <c r="F11" s="268"/>
      <c r="I11" s="262"/>
      <c r="J11" s="267"/>
      <c r="K11" s="268"/>
      <c r="L11" s="2"/>
    </row>
    <row r="12" ht="18.75" customHeight="1">
      <c r="A12" s="3"/>
      <c r="B12" s="262">
        <v>9.0</v>
      </c>
      <c r="C12" s="263"/>
      <c r="D12" s="266"/>
      <c r="E12" s="267"/>
      <c r="F12" s="268"/>
      <c r="I12" s="262"/>
      <c r="J12" s="267"/>
      <c r="K12" s="268"/>
      <c r="L12" s="2"/>
    </row>
    <row r="13" ht="18.75" customHeight="1">
      <c r="A13" s="3"/>
      <c r="B13" s="262">
        <v>10.0</v>
      </c>
      <c r="C13" s="263"/>
      <c r="D13" s="266"/>
      <c r="E13" s="263"/>
      <c r="F13" s="265"/>
      <c r="I13" s="262"/>
      <c r="J13" s="267"/>
      <c r="K13" s="268"/>
      <c r="L13" s="2"/>
    </row>
    <row r="14" ht="18.75" customHeight="1">
      <c r="A14" s="3"/>
      <c r="B14" s="262">
        <v>11.0</v>
      </c>
      <c r="C14" s="263"/>
      <c r="D14" s="264"/>
      <c r="E14" s="263"/>
      <c r="F14" s="265"/>
      <c r="I14" s="262"/>
      <c r="J14" s="267"/>
      <c r="K14" s="268"/>
      <c r="L14" s="2"/>
    </row>
    <row r="15" ht="18.75" customHeight="1">
      <c r="A15" s="3"/>
      <c r="B15" s="269">
        <v>12.0</v>
      </c>
      <c r="C15" s="270"/>
      <c r="D15" s="271"/>
      <c r="E15" s="270"/>
      <c r="F15" s="272"/>
      <c r="I15" s="269"/>
      <c r="J15" s="273"/>
      <c r="K15" s="274"/>
      <c r="L15" s="2"/>
    </row>
    <row r="16" ht="7.5" customHeight="1">
      <c r="A16" s="3"/>
      <c r="B16" s="275"/>
      <c r="C16" s="275"/>
      <c r="D16" s="276"/>
      <c r="E16" s="277"/>
      <c r="F16" s="277"/>
      <c r="I16" s="275"/>
      <c r="J16" s="277"/>
      <c r="K16" s="277"/>
      <c r="L16" s="2"/>
    </row>
    <row r="17" ht="18.75" customHeight="1">
      <c r="A17" s="3"/>
      <c r="B17" s="278" t="s">
        <v>20</v>
      </c>
      <c r="C17" s="251"/>
      <c r="D17" s="251"/>
      <c r="E17" s="251"/>
      <c r="F17" s="251"/>
      <c r="G17" s="251"/>
      <c r="H17" s="251"/>
      <c r="I17" s="251"/>
      <c r="J17" s="251"/>
      <c r="K17" s="279"/>
      <c r="L17" s="2"/>
    </row>
    <row r="18" ht="18.75" customHeight="1">
      <c r="A18" s="3"/>
      <c r="B18" s="280"/>
      <c r="C18" s="259" t="s">
        <v>21</v>
      </c>
      <c r="D18" s="259" t="s">
        <v>6</v>
      </c>
      <c r="E18" s="259" t="s">
        <v>17</v>
      </c>
      <c r="F18" s="259" t="s">
        <v>22</v>
      </c>
      <c r="G18" s="259" t="s">
        <v>23</v>
      </c>
      <c r="H18" s="259" t="s">
        <v>24</v>
      </c>
      <c r="I18" s="259" t="s">
        <v>25</v>
      </c>
      <c r="J18" s="259" t="s">
        <v>26</v>
      </c>
      <c r="K18" s="260" t="s">
        <v>27</v>
      </c>
      <c r="L18" s="2"/>
    </row>
    <row r="19" ht="18.75" customHeight="1">
      <c r="A19" s="3"/>
      <c r="B19" s="262">
        <v>1.0</v>
      </c>
      <c r="C19" s="263"/>
      <c r="D19" s="264"/>
      <c r="E19" s="276">
        <f>MULTIPLY((IFERROR(VLOOKUP(F19,DraftAnimals,2),0)),5)+MULTIPLY((IFERROR(VLOOKUP(G19,DraftAnimals,2),0)),5)+MULTIPLY((IFERROR(VLOOKUP(H19,DraftAnimals,2),0)),5)+MULTIPLY((IFERROR(VLOOKUP(I19,DraftAnimals,2),0)),5)+MULTIPLY((IFERROR(VLOOKUP(J19,DraftAnimals,2),0)),5)+MULTIPLY((IFERROR(VLOOKUP(K19,DraftAnimals,2),0)),5)-Vehicle1Weight</f>
        <v>0</v>
      </c>
      <c r="F19" s="263"/>
      <c r="G19" s="263"/>
      <c r="H19" s="263"/>
      <c r="I19" s="267"/>
      <c r="J19" s="267"/>
      <c r="K19" s="268"/>
      <c r="L19" s="2"/>
    </row>
    <row r="20" ht="18.75" customHeight="1">
      <c r="A20" s="3"/>
      <c r="B20" s="262">
        <v>2.0</v>
      </c>
      <c r="C20" s="263"/>
      <c r="D20" s="266"/>
      <c r="E20" s="276">
        <f>MULTIPLY((IFERROR(VLOOKUP(F20,DraftAnimals,2),0)),5)+MULTIPLY((IFERROR(VLOOKUP(G20,DraftAnimals,2),0)),5)+MULTIPLY((IFERROR(VLOOKUP(H20,DraftAnimals,2),0)),5)+MULTIPLY((IFERROR(VLOOKUP(I20,DraftAnimals,2),0)),5)+MULTIPLY((IFERROR(VLOOKUP(J20,DraftAnimals,2),0)),5)+MULTIPLY((IFERROR(VLOOKUP(K20,DraftAnimals,2),0)),5)-Vehicle2Weight</f>
        <v>0</v>
      </c>
      <c r="F20" s="267"/>
      <c r="G20" s="267"/>
      <c r="H20" s="267"/>
      <c r="I20" s="267"/>
      <c r="J20" s="267"/>
      <c r="K20" s="268"/>
      <c r="L20" s="2"/>
    </row>
    <row r="21" ht="18.75" customHeight="1">
      <c r="A21" s="3"/>
      <c r="B21" s="269">
        <v>3.0</v>
      </c>
      <c r="C21" s="270"/>
      <c r="D21" s="281"/>
      <c r="E21" s="282">
        <f>MULTIPLY((IFERROR(VLOOKUP(F21,DraftAnimals,2),0)),5)+MULTIPLY((IFERROR(VLOOKUP(G21,DraftAnimals,2),0)),5)+MULTIPLY((IFERROR(VLOOKUP(H21,DraftAnimals,2),0)),5)+MULTIPLY((IFERROR(VLOOKUP(I21,DraftAnimals,2),0)),5)+MULTIPLY((IFERROR(VLOOKUP(J21,DraftAnimals,2),0)),5)+MULTIPLY((IFERROR(VLOOKUP(K21,DraftAnimals,2),0)),5)-Vehicle3Weight</f>
        <v>0</v>
      </c>
      <c r="F21" s="273"/>
      <c r="G21" s="273"/>
      <c r="H21" s="273"/>
      <c r="I21" s="273"/>
      <c r="J21" s="273"/>
      <c r="K21" s="274"/>
      <c r="L21" s="2"/>
    </row>
    <row r="22" ht="7.5" customHeight="1">
      <c r="A22" s="3"/>
      <c r="B22" s="3"/>
      <c r="C22" s="3"/>
      <c r="D22" s="2"/>
      <c r="E22" s="2"/>
      <c r="F22" s="2"/>
      <c r="G22" s="2"/>
      <c r="H22" s="2"/>
      <c r="I22" s="2"/>
      <c r="J22" s="2"/>
      <c r="K22" s="2"/>
      <c r="L22" s="2"/>
    </row>
  </sheetData>
  <mergeCells count="1">
    <mergeCell ref="G2:H15"/>
  </mergeCells>
  <conditionalFormatting sqref="D19:D21">
    <cfRule type="expression" dxfId="0" priority="1">
      <formula>AND(NOT(ISBLANK(C19)), ISBLANK(D19))</formula>
    </cfRule>
  </conditionalFormatting>
  <conditionalFormatting sqref="D4:D16">
    <cfRule type="expression" dxfId="0" priority="2">
      <formula>AND(NOT(ISBLANK(C4)), ISBLANK(D4))</formula>
    </cfRule>
  </conditionalFormatting>
  <conditionalFormatting sqref="E4:E16">
    <cfRule type="expression" dxfId="0" priority="3">
      <formula>AND(NOT(ISBLANK(C4)), ISBLANK(E4))</formula>
    </cfRule>
  </conditionalFormatting>
  <conditionalFormatting sqref="F4:F16">
    <cfRule type="expression" dxfId="0" priority="4">
      <formula>AND(NOT(ISBLANK(C4)), ISBLANK(F4))</formula>
    </cfRule>
  </conditionalFormatting>
  <conditionalFormatting sqref="J4:J16">
    <cfRule type="expression" dxfId="0" priority="5">
      <formula>AND(NOT(ISBLANK(I4)), ISBLANK(J4))</formula>
    </cfRule>
  </conditionalFormatting>
  <conditionalFormatting sqref="K4:K16">
    <cfRule type="expression" dxfId="0" priority="6">
      <formula>AND(NOT(ISBLANK(I4)), ISBLANK(K4))</formula>
    </cfRule>
  </conditionalFormatting>
  <dataValidations>
    <dataValidation type="decimal" allowBlank="1" showDropDown="1" showInputMessage="1" prompt="Every vehicle must have a weight." sqref="D19:D21">
      <formula1>0.0</formula1>
      <formula2>10000.0</formula2>
    </dataValidation>
    <dataValidation type="decimal" allowBlank="1" showDropDown="1" showInputMessage="1" prompt="Every draft animal must have a carrying capacity." sqref="D4:D16">
      <formula1>0.0</formula1>
      <formula2>10000.0</formula2>
    </dataValidation>
    <dataValidation type="list" allowBlank="1" sqref="J4:J15">
      <formula1>PartyStorageOptions</formula1>
    </dataValidation>
    <dataValidation type="decimal" allowBlank="1" showDropDown="1" showInputMessage="1" prompt="Every draft animal must have a strength." sqref="F4:F16">
      <formula1>1.0</formula1>
      <formula2>30.0</formula2>
    </dataValidation>
    <dataValidation type="list" allowBlank="1" showErrorMessage="1" sqref="K5:K6">
      <formula1>"Permanent,,,,,,,,,"</formula1>
    </dataValidation>
    <dataValidation type="list" allowBlank="1" showInputMessage="1" prompt="Every draft animal must have a size." sqref="E4:E15">
      <formula1>"Medium,Large,Huge"</formula1>
    </dataValidation>
    <dataValidation type="list" allowBlank="1" sqref="F19:K21">
      <formula1>'Party Info'!$C$4:$C$15</formula1>
    </dataValidation>
  </dataValidations>
  <hyperlinks>
    <hyperlink r:id="rId2" ref="G1"/>
  </hyperlinks>
  <drawing r:id="rId3"/>
  <legacyDrawing r:id="rId4"/>
  <tableParts count="3">
    <tablePart r:id="rId8"/>
    <tablePart r:id="rId9"/>
    <tablePart r:id="rId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sheetPr>
  <sheetViews>
    <sheetView showGridLines="0" workbookViewId="0"/>
  </sheetViews>
  <sheetFormatPr customHeight="1" defaultColWidth="14.43" defaultRowHeight="15.75"/>
  <cols>
    <col customWidth="1" min="1" max="1" width="1.57"/>
    <col customWidth="1" min="2" max="2" width="5.86"/>
    <col customWidth="1" min="3" max="3" width="21.57"/>
    <col customWidth="1" min="4" max="13" width="15.86"/>
    <col customWidth="1" min="14" max="14" width="1.57"/>
    <col customWidth="1" min="15" max="17" width="14.43"/>
    <col customWidth="1" min="18" max="18" width="1.57"/>
  </cols>
  <sheetData>
    <row r="1" ht="7.5" customHeight="1">
      <c r="A1" s="283" t="str">
        <f>"Party Inventory"</f>
        <v>Party Inventory</v>
      </c>
      <c r="B1" s="284"/>
      <c r="C1" s="285"/>
      <c r="D1" s="285"/>
      <c r="E1" s="285"/>
      <c r="F1" s="285"/>
      <c r="G1" s="286"/>
      <c r="H1" s="286"/>
      <c r="I1" s="286"/>
      <c r="J1" s="286"/>
      <c r="K1" s="286"/>
      <c r="L1" s="286"/>
      <c r="M1" s="126">
        <f>MEDIAN('Hidden 757861784'!H7,'Hidden 196701235'!H7,'Hidden 1564173661'!H7,'Hidden 796318378'!H7,'Hidden 1993484902'!H7,'Hidden 920736060'!H7,'Hidden 1841022303'!H7,'Hidden 948371148'!H7,'Hidden 1670416913'!H7)</f>
        <v>0</v>
      </c>
      <c r="N1" s="287"/>
      <c r="P1" s="286"/>
      <c r="Q1" s="286"/>
      <c r="R1" s="288"/>
    </row>
    <row r="2" ht="18.75" customHeight="1">
      <c r="A2" s="289"/>
      <c r="B2" s="290" t="s">
        <v>28</v>
      </c>
      <c r="C2" s="291"/>
      <c r="D2" s="292" t="s">
        <v>29</v>
      </c>
      <c r="E2" s="293"/>
      <c r="F2" s="293"/>
      <c r="G2" s="293"/>
      <c r="H2" s="293"/>
      <c r="I2" s="294"/>
      <c r="J2" s="295"/>
      <c r="K2" s="295"/>
      <c r="L2" s="296" t="s">
        <v>30</v>
      </c>
      <c r="M2" s="297">
        <f>SUM(G4:G8,G12:G17)</f>
        <v>0</v>
      </c>
      <c r="N2" s="298"/>
      <c r="O2" s="299" t="str">
        <f>IF(ISBLANK(Vehicle1),"Vehicle 1",Vehicle1)&amp;" Capacity"</f>
        <v>Vehicle 1 Capacity</v>
      </c>
      <c r="P2" s="300"/>
      <c r="Q2" s="301"/>
      <c r="R2" s="302" t="str">
        <f>Vehicle1</f>
        <v/>
      </c>
    </row>
    <row r="3" ht="18.75" customHeight="1">
      <c r="A3" s="289"/>
      <c r="B3" s="303" t="s">
        <v>31</v>
      </c>
      <c r="C3" s="304" t="s">
        <v>11</v>
      </c>
      <c r="D3" s="304" t="s">
        <v>32</v>
      </c>
      <c r="E3" s="304" t="s">
        <v>33</v>
      </c>
      <c r="F3" s="304" t="s">
        <v>34</v>
      </c>
      <c r="G3" s="304" t="s">
        <v>35</v>
      </c>
      <c r="H3" s="304" t="s">
        <v>36</v>
      </c>
      <c r="I3" s="304" t="s">
        <v>37</v>
      </c>
      <c r="J3" s="304" t="s">
        <v>38</v>
      </c>
      <c r="K3" s="304" t="s">
        <v>39</v>
      </c>
      <c r="L3" s="304" t="s">
        <v>40</v>
      </c>
      <c r="M3" s="305" t="s">
        <v>41</v>
      </c>
      <c r="N3" s="306"/>
      <c r="O3" s="307" t="s">
        <v>17</v>
      </c>
      <c r="P3" s="308"/>
      <c r="Q3" s="309">
        <f>IF(ISBLANK(Vehicle1AdjustedCapacity),0,Vehicle1AdjustedCapacity)</f>
        <v>0</v>
      </c>
      <c r="R3" s="310"/>
    </row>
    <row r="4" ht="18.75" customHeight="1">
      <c r="A4" s="289"/>
      <c r="B4" s="311"/>
      <c r="C4" s="312" t="s">
        <v>42</v>
      </c>
      <c r="D4" s="313" t="str">
        <f>B4</f>
        <v/>
      </c>
      <c r="E4" s="314">
        <f>B4/10</f>
        <v>0</v>
      </c>
      <c r="F4" s="314">
        <f>B4/50</f>
        <v>0</v>
      </c>
      <c r="G4" s="314">
        <f>B4/100</f>
        <v>0</v>
      </c>
      <c r="H4" s="314">
        <f>B4/1000</f>
        <v>0</v>
      </c>
      <c r="I4" s="315">
        <f>B4/5000</f>
        <v>0</v>
      </c>
      <c r="J4" s="316">
        <f>B4/10000</f>
        <v>0</v>
      </c>
      <c r="K4" s="316">
        <f>B4/50000</f>
        <v>0</v>
      </c>
      <c r="L4" s="316">
        <f>B4/100000</f>
        <v>0</v>
      </c>
      <c r="M4" s="317">
        <f>B4/500000</f>
        <v>0</v>
      </c>
      <c r="N4" s="318"/>
      <c r="O4" s="319" t="s">
        <v>43</v>
      </c>
      <c r="P4" s="320"/>
      <c r="Q4" s="321">
        <f t="array" ref="Q4">SUMIF(PartyEquipStatus,"="&amp;Vehicle1,PartyInventoryWeights)+SUMIF(Ch1_PartyEquip,"="&amp;Vehicle1,Ch1_InventoryWeights)+SUMIF(Ch2_PartyEquip,"="&amp;Vehicle1,Ch2_InventoryWeights)++SUMIF(Ch3_PartyEquip,"="&amp;Vehicle1,Ch3_InventoryWeights)++SUMIF(Ch4_PartyEquip,"="&amp;Vehicle1,Ch4_InventoryWeights)++SUMIF(Ch5_PartyEquip,"="&amp;Vehicle1,Ch5_InventoryWeights)+SUMIF(Ch6_PartyEquip,"="&amp;Vehicle1,Ch6_InventoryWeights)+SUMIF(Ch7_PartyEquip,"="&amp;Vehicle1,Ch7_InventoryWeights)+SUMIF(Ch8_PartyEquip,"="&amp;Vehicle1,Ch8_InventoryWeights)+SUMIF(Ch9_PartyEquip,"="&amp;Vehicle1,Ch9_InventoryWeights)</f>
        <v>0</v>
      </c>
      <c r="R4" s="322"/>
    </row>
    <row r="5" ht="18.75" customHeight="1">
      <c r="A5" s="289"/>
      <c r="B5" s="323"/>
      <c r="C5" s="324" t="s">
        <v>44</v>
      </c>
      <c r="D5" s="325">
        <f>B5*10</f>
        <v>0</v>
      </c>
      <c r="E5" s="326" t="str">
        <f>B5</f>
        <v/>
      </c>
      <c r="F5" s="325">
        <f>B5/5</f>
        <v>0</v>
      </c>
      <c r="G5" s="325">
        <f>B5/10</f>
        <v>0</v>
      </c>
      <c r="H5" s="325">
        <f>B5/100</f>
        <v>0</v>
      </c>
      <c r="I5" s="325">
        <f>B5/500</f>
        <v>0</v>
      </c>
      <c r="J5" s="325">
        <f>B5/1000</f>
        <v>0</v>
      </c>
      <c r="K5" s="325">
        <f>B5/5000</f>
        <v>0</v>
      </c>
      <c r="L5" s="325">
        <f>B5/10000</f>
        <v>0</v>
      </c>
      <c r="M5" s="327">
        <f>B5/50000</f>
        <v>0</v>
      </c>
      <c r="N5" s="328"/>
      <c r="O5" s="329"/>
      <c r="P5" s="329"/>
      <c r="Q5" s="329"/>
      <c r="R5" s="330"/>
    </row>
    <row r="6" ht="18.75" customHeight="1">
      <c r="A6" s="289"/>
      <c r="B6" s="311"/>
      <c r="C6" s="312" t="s">
        <v>45</v>
      </c>
      <c r="D6" s="314">
        <f>B6*50</f>
        <v>0</v>
      </c>
      <c r="E6" s="314">
        <f>B6*5</f>
        <v>0</v>
      </c>
      <c r="F6" s="313" t="str">
        <f>B6</f>
        <v/>
      </c>
      <c r="G6" s="314">
        <f>B6/2</f>
        <v>0</v>
      </c>
      <c r="H6" s="314">
        <f>B6/20</f>
        <v>0</v>
      </c>
      <c r="I6" s="314">
        <f>B6/100</f>
        <v>0</v>
      </c>
      <c r="J6" s="316">
        <f>B6/200</f>
        <v>0</v>
      </c>
      <c r="K6" s="316">
        <f>B6/1000</f>
        <v>0</v>
      </c>
      <c r="L6" s="316">
        <f>B6/2000</f>
        <v>0</v>
      </c>
      <c r="M6" s="317">
        <f>B6/10000</f>
        <v>0</v>
      </c>
      <c r="N6" s="318"/>
      <c r="O6" s="299" t="str">
        <f>IF(ISBLANK(Vehicle2),"Vehicle 2",Vehicle2)&amp;" Capacity"</f>
        <v>Vehicle 2 Capacity</v>
      </c>
      <c r="P6" s="300"/>
      <c r="Q6" s="301"/>
      <c r="R6" s="302" t="str">
        <f>Vehicle2
</f>
        <v/>
      </c>
    </row>
    <row r="7" ht="18.75" customHeight="1">
      <c r="A7" s="289"/>
      <c r="B7" s="323"/>
      <c r="C7" s="324" t="s">
        <v>46</v>
      </c>
      <c r="D7" s="325">
        <f>B7*100</f>
        <v>0</v>
      </c>
      <c r="E7" s="325">
        <f>B7*10</f>
        <v>0</v>
      </c>
      <c r="F7" s="325">
        <f>B7*2</f>
        <v>0</v>
      </c>
      <c r="G7" s="326" t="str">
        <f>B7</f>
        <v/>
      </c>
      <c r="H7" s="325">
        <f>B7/10</f>
        <v>0</v>
      </c>
      <c r="I7" s="325">
        <f>B7/50</f>
        <v>0</v>
      </c>
      <c r="J7" s="331">
        <f>B7/100</f>
        <v>0</v>
      </c>
      <c r="K7" s="331">
        <f>B7/500</f>
        <v>0</v>
      </c>
      <c r="L7" s="331">
        <f>B7/1000</f>
        <v>0</v>
      </c>
      <c r="M7" s="332">
        <f>B7/5000</f>
        <v>0</v>
      </c>
      <c r="N7" s="318"/>
      <c r="O7" s="307" t="s">
        <v>17</v>
      </c>
      <c r="P7" s="308"/>
      <c r="Q7" s="309">
        <f>IF(ISBLANK(Vehicle2AdjustedCapacity),0,Vehicle2AdjustedCapacity)</f>
        <v>0</v>
      </c>
      <c r="R7" s="310"/>
    </row>
    <row r="8" ht="18.75" customHeight="1">
      <c r="A8" s="289"/>
      <c r="B8" s="333"/>
      <c r="C8" s="334" t="s">
        <v>47</v>
      </c>
      <c r="D8" s="335">
        <f>B8*1000</f>
        <v>0</v>
      </c>
      <c r="E8" s="335">
        <f>B8*100</f>
        <v>0</v>
      </c>
      <c r="F8" s="335">
        <f>B8*20</f>
        <v>0</v>
      </c>
      <c r="G8" s="335">
        <f>B8*10</f>
        <v>0</v>
      </c>
      <c r="H8" s="335">
        <f>B8*1</f>
        <v>0</v>
      </c>
      <c r="I8" s="335">
        <f>B8/5</f>
        <v>0</v>
      </c>
      <c r="J8" s="336">
        <f>B8/10</f>
        <v>0</v>
      </c>
      <c r="K8" s="336">
        <f>B8/50</f>
        <v>0</v>
      </c>
      <c r="L8" s="336">
        <f>B8/100</f>
        <v>0</v>
      </c>
      <c r="M8" s="337">
        <f>B8/500</f>
        <v>0</v>
      </c>
      <c r="N8" s="318"/>
      <c r="O8" s="319" t="s">
        <v>43</v>
      </c>
      <c r="P8" s="320"/>
      <c r="Q8" s="321">
        <f t="array" ref="Q8">SUMIF(PartyEquipStatus,"="&amp;Vehicle2,PartyInventoryWeights)+SUMIF(Ch1_PartyEquip,"="&amp;Vehicle2,Ch1_InventoryWeights)+SUMIF(Ch2_PartyEquip,"="&amp;Vehicle2,Ch2_InventoryWeights)++SUMIF(Ch3_PartyEquip,"="&amp;Vehicle2,Ch3_InventoryWeights)++SUMIF(Ch4_PartyEquip,"="&amp;Vehicle2,Ch4_InventoryWeights)++SUMIF(Ch5_PartyEquip,"="&amp;Vehicle2,Ch5_InventoryWeights)+SUMIF(Ch6_PartyEquip,"="&amp;Vehicle2,Ch6_InventoryWeights)+SUMIF(Ch7_PartyEquip,"="&amp;Vehicle2,Ch7_InventoryWeights)+SUMIF(Ch8_PartyEquip,"="&amp;Vehicle2,Ch8_InventoryWeights)+SUMIF(Ch9_PartyEquip,"="&amp;Vehicle2,Ch9_InventoryWeights)</f>
        <v>0</v>
      </c>
      <c r="R8" s="322"/>
    </row>
    <row r="9" ht="18.75" customHeight="1">
      <c r="A9" s="289"/>
      <c r="B9" s="338"/>
      <c r="C9" s="339"/>
      <c r="D9" s="339"/>
      <c r="E9" s="339"/>
      <c r="F9" s="339"/>
      <c r="G9" s="339"/>
      <c r="H9" s="339"/>
      <c r="I9" s="339"/>
      <c r="J9" s="340"/>
      <c r="K9" s="340"/>
      <c r="L9" s="340"/>
      <c r="M9" s="340"/>
      <c r="N9" s="341"/>
      <c r="O9" s="342"/>
      <c r="P9" s="343"/>
      <c r="Q9" s="344"/>
      <c r="R9" s="322"/>
    </row>
    <row r="10" ht="18.75" customHeight="1">
      <c r="A10" s="289"/>
      <c r="B10" s="290" t="s">
        <v>48</v>
      </c>
      <c r="C10" s="291"/>
      <c r="D10" s="292" t="s">
        <v>29</v>
      </c>
      <c r="E10" s="293"/>
      <c r="F10" s="293"/>
      <c r="G10" s="293"/>
      <c r="H10" s="293"/>
      <c r="I10" s="293"/>
      <c r="J10" s="295"/>
      <c r="K10" s="295"/>
      <c r="L10" s="295"/>
      <c r="M10" s="345"/>
      <c r="N10" s="346"/>
      <c r="O10" s="299" t="str">
        <f>IF(ISBLANK(Vehicle3),"Vehicle 3",Vehicle3)&amp;" Capacity"</f>
        <v>Vehicle 3 Capacity</v>
      </c>
      <c r="P10" s="300"/>
      <c r="Q10" s="301"/>
      <c r="R10" s="302" t="str">
        <f>Vehicle3</f>
        <v/>
      </c>
    </row>
    <row r="11" ht="18.75" customHeight="1">
      <c r="A11" s="289"/>
      <c r="B11" s="303" t="s">
        <v>31</v>
      </c>
      <c r="C11" s="304" t="s">
        <v>11</v>
      </c>
      <c r="D11" s="304" t="s">
        <v>32</v>
      </c>
      <c r="E11" s="304" t="s">
        <v>33</v>
      </c>
      <c r="F11" s="304" t="s">
        <v>34</v>
      </c>
      <c r="G11" s="304" t="s">
        <v>35</v>
      </c>
      <c r="H11" s="304" t="s">
        <v>36</v>
      </c>
      <c r="I11" s="304" t="s">
        <v>37</v>
      </c>
      <c r="J11" s="304" t="s">
        <v>38</v>
      </c>
      <c r="K11" s="304" t="s">
        <v>39</v>
      </c>
      <c r="L11" s="304" t="s">
        <v>40</v>
      </c>
      <c r="M11" s="305" t="s">
        <v>41</v>
      </c>
      <c r="N11" s="346"/>
      <c r="O11" s="307" t="s">
        <v>17</v>
      </c>
      <c r="P11" s="308"/>
      <c r="Q11" s="309">
        <f>IF(ISBLANK(Vehicle3AdjustedCapacity),0,Vehicle3AdjustedCapacity)</f>
        <v>0</v>
      </c>
      <c r="R11" s="310"/>
    </row>
    <row r="12" ht="18.75" customHeight="1">
      <c r="A12" s="289"/>
      <c r="B12" s="311"/>
      <c r="C12" s="312" t="s">
        <v>49</v>
      </c>
      <c r="D12" s="314">
        <f>B12*1000</f>
        <v>0</v>
      </c>
      <c r="E12" s="314">
        <f>B12*100</f>
        <v>0</v>
      </c>
      <c r="F12" s="314">
        <f>B12*20</f>
        <v>0</v>
      </c>
      <c r="G12" s="314">
        <f>B12*10</f>
        <v>0</v>
      </c>
      <c r="H12" s="314">
        <f>B12*1</f>
        <v>0</v>
      </c>
      <c r="I12" s="314">
        <f>B12/5</f>
        <v>0</v>
      </c>
      <c r="J12" s="316">
        <f>B12/10</f>
        <v>0</v>
      </c>
      <c r="K12" s="316">
        <f>B12/50</f>
        <v>0</v>
      </c>
      <c r="L12" s="316">
        <f>B12/100</f>
        <v>0</v>
      </c>
      <c r="M12" s="317">
        <f>B12/500</f>
        <v>0</v>
      </c>
      <c r="N12" s="346"/>
      <c r="O12" s="319" t="s">
        <v>43</v>
      </c>
      <c r="P12" s="320"/>
      <c r="Q12" s="321">
        <f t="array" ref="Q12">SUMIF(PartyEquipStatus,"="&amp;Vehicle3,PartyInventoryWeights)+SUMIF(Ch1_PartyEquip,"="&amp;Vehicle3,Ch1_InventoryWeights)+SUMIF(Ch2_PartyEquip,"="&amp;Vehicle3,Ch2_InventoryWeights)++SUMIF(Ch3_PartyEquip,"="&amp;Vehicle3,Ch3_InventoryWeights)++SUMIF(Ch4_PartyEquip,"="&amp;Vehicle3,Ch4_InventoryWeights)++SUMIF(Ch5_PartyEquip,"="&amp;Vehicle3,Ch5_InventoryWeights)+SUMIF(Ch6_PartyEquip,"="&amp;Vehicle3,Ch6_InventoryWeights)+SUMIF(Ch7_PartyEquip,"="&amp;Vehicle3,Ch7_InventoryWeights)+SUMIF(Ch8_PartyEquip,"="&amp;Vehicle3,Ch8_InventoryWeights)+SUMIF(Ch9_PartyEquip,"="&amp;Vehicle3,Ch9_InventoryWeights)</f>
        <v>0</v>
      </c>
      <c r="R12" s="322"/>
    </row>
    <row r="13" ht="18.75" customHeight="1">
      <c r="A13" s="289"/>
      <c r="B13" s="323"/>
      <c r="C13" s="324" t="s">
        <v>50</v>
      </c>
      <c r="D13" s="325">
        <f>B13*5000</f>
        <v>0</v>
      </c>
      <c r="E13" s="325">
        <f>B13*500</f>
        <v>0</v>
      </c>
      <c r="F13" s="325">
        <f>B13*100</f>
        <v>0</v>
      </c>
      <c r="G13" s="325">
        <f>B13*50</f>
        <v>0</v>
      </c>
      <c r="H13" s="325">
        <f>B13*5</f>
        <v>0</v>
      </c>
      <c r="I13" s="326" t="str">
        <f>B13</f>
        <v/>
      </c>
      <c r="J13" s="331">
        <f>B13/2</f>
        <v>0</v>
      </c>
      <c r="K13" s="331">
        <f>B13/10</f>
        <v>0</v>
      </c>
      <c r="L13" s="331">
        <f>B13/20</f>
        <v>0</v>
      </c>
      <c r="M13" s="332">
        <f>B13/100</f>
        <v>0</v>
      </c>
      <c r="N13" s="346"/>
      <c r="O13" s="347" t="str">
        <f>IF(ISBLANK(Draft1Size),"",VLOOKUP(Draft1Size,SizeMultipliers,2, FALSE))</f>
        <v/>
      </c>
      <c r="P13" s="348" t="b">
        <f>IF( GT( COUNTIF( Animal_Hitch_Status, DraftAnimal1 ), 0 ), true, false)</f>
        <v>0</v>
      </c>
      <c r="Q13" s="329"/>
      <c r="R13" s="330"/>
    </row>
    <row r="14" ht="18.75" customHeight="1">
      <c r="A14" s="289"/>
      <c r="B14" s="311"/>
      <c r="C14" s="312" t="s">
        <v>51</v>
      </c>
      <c r="D14" s="314">
        <f>B14*10000</f>
        <v>0</v>
      </c>
      <c r="E14" s="314">
        <f>B14*1000</f>
        <v>0</v>
      </c>
      <c r="F14" s="314">
        <f>B14*200</f>
        <v>0</v>
      </c>
      <c r="G14" s="314">
        <f>B14*100</f>
        <v>0</v>
      </c>
      <c r="H14" s="314">
        <f>B14*10</f>
        <v>0</v>
      </c>
      <c r="I14" s="314">
        <f>B14/5*10</f>
        <v>0</v>
      </c>
      <c r="J14" s="349" t="str">
        <f>B14</f>
        <v/>
      </c>
      <c r="K14" s="316">
        <f>B14/5</f>
        <v>0</v>
      </c>
      <c r="L14" s="316">
        <f>B14/10</f>
        <v>0</v>
      </c>
      <c r="M14" s="317">
        <f>B14/50</f>
        <v>0</v>
      </c>
      <c r="N14" s="346"/>
      <c r="O14" s="290" t="str">
        <f>IF(ISBLANK(DraftAnimal1),"Draft Animal 1",DraftAnimal1)&amp;"'s Encumbrance"</f>
        <v>Draft Animal 1's Encumbrance</v>
      </c>
      <c r="P14" s="300"/>
      <c r="Q14" s="301"/>
      <c r="R14" s="350" t="str">
        <f>DraftAnimal1</f>
        <v/>
      </c>
    </row>
    <row r="15" ht="18.75" customHeight="1">
      <c r="A15" s="289"/>
      <c r="B15" s="323"/>
      <c r="C15" s="324" t="s">
        <v>52</v>
      </c>
      <c r="D15" s="325">
        <f>B15*50000</f>
        <v>0</v>
      </c>
      <c r="E15" s="325">
        <f>B15*5000</f>
        <v>0</v>
      </c>
      <c r="F15" s="325">
        <f>B15*1000</f>
        <v>0</v>
      </c>
      <c r="G15" s="325">
        <f>B15*500</f>
        <v>0</v>
      </c>
      <c r="H15" s="325">
        <f>B15*50</f>
        <v>0</v>
      </c>
      <c r="I15" s="325">
        <f>B15*10</f>
        <v>0</v>
      </c>
      <c r="J15" s="331">
        <f>B15/2*10</f>
        <v>0</v>
      </c>
      <c r="K15" s="351" t="str">
        <f>B15</f>
        <v/>
      </c>
      <c r="L15" s="331">
        <f>B15/2</f>
        <v>0</v>
      </c>
      <c r="M15" s="332">
        <f>B15/10</f>
        <v>0</v>
      </c>
      <c r="N15" s="346"/>
      <c r="O15" s="352" t="s">
        <v>53</v>
      </c>
      <c r="P15" s="353"/>
      <c r="Q15" s="354">
        <f>Draft1Str*Draft1SizeMult*5</f>
        <v>0</v>
      </c>
      <c r="R15" s="355"/>
    </row>
    <row r="16" ht="18.75" customHeight="1">
      <c r="A16" s="289"/>
      <c r="B16" s="311"/>
      <c r="C16" s="312" t="s">
        <v>54</v>
      </c>
      <c r="D16" s="314">
        <f>B16*100000</f>
        <v>0</v>
      </c>
      <c r="E16" s="314">
        <f>B16*10000</f>
        <v>0</v>
      </c>
      <c r="F16" s="314">
        <f>B16*2000</f>
        <v>0</v>
      </c>
      <c r="G16" s="314">
        <f>B16*1000</f>
        <v>0</v>
      </c>
      <c r="H16" s="314">
        <f>B16*100</f>
        <v>0</v>
      </c>
      <c r="I16" s="314">
        <f>B16/5*100</f>
        <v>0</v>
      </c>
      <c r="J16" s="316">
        <f>B16*10</f>
        <v>0</v>
      </c>
      <c r="K16" s="316">
        <f>B16/5*10</f>
        <v>0</v>
      </c>
      <c r="L16" s="349" t="str">
        <f>B16</f>
        <v/>
      </c>
      <c r="M16" s="317">
        <f>B16/5</f>
        <v>0</v>
      </c>
      <c r="N16" s="346"/>
      <c r="O16" s="356" t="s">
        <v>55</v>
      </c>
      <c r="P16" s="357"/>
      <c r="Q16" s="358">
        <f>Draft1Str*Draft1SizeMult*10</f>
        <v>0</v>
      </c>
      <c r="R16" s="355"/>
    </row>
    <row r="17" ht="18.75" customHeight="1">
      <c r="A17" s="289"/>
      <c r="B17" s="359"/>
      <c r="C17" s="360" t="s">
        <v>56</v>
      </c>
      <c r="D17" s="361">
        <f>B17*500000</f>
        <v>0</v>
      </c>
      <c r="E17" s="361">
        <f>B17*50000</f>
        <v>0</v>
      </c>
      <c r="F17" s="361">
        <f>B17*10000</f>
        <v>0</v>
      </c>
      <c r="G17" s="361">
        <f>B17*5000</f>
        <v>0</v>
      </c>
      <c r="H17" s="361">
        <f>B17*500</f>
        <v>0</v>
      </c>
      <c r="I17" s="361">
        <f>B17*100</f>
        <v>0</v>
      </c>
      <c r="J17" s="362">
        <f>B17/2*100</f>
        <v>0</v>
      </c>
      <c r="K17" s="362">
        <f>B17*10</f>
        <v>0</v>
      </c>
      <c r="L17" s="362">
        <f>B17/2*10</f>
        <v>0</v>
      </c>
      <c r="M17" s="363" t="str">
        <f>B17</f>
        <v/>
      </c>
      <c r="N17" s="346"/>
      <c r="O17" s="352" t="s">
        <v>17</v>
      </c>
      <c r="P17" s="353"/>
      <c r="Q17" s="354">
        <f>Draft1Str*Draft1SizeMult*15</f>
        <v>0</v>
      </c>
      <c r="R17" s="355"/>
    </row>
    <row r="18" ht="7.5" customHeight="1">
      <c r="A18" s="289"/>
      <c r="B18" s="364"/>
      <c r="C18" s="13"/>
      <c r="D18" s="13"/>
      <c r="E18" s="13"/>
      <c r="F18" s="13"/>
      <c r="G18" s="13"/>
      <c r="H18" s="13"/>
      <c r="I18" s="13"/>
      <c r="J18" s="261"/>
      <c r="K18" s="261"/>
      <c r="L18" s="261"/>
      <c r="M18" s="261"/>
      <c r="N18" s="346"/>
      <c r="O18" s="356" t="s">
        <v>57</v>
      </c>
      <c r="P18" s="357"/>
      <c r="Q18" s="358">
        <f>Draft1Str*Draft1SizeMult*30</f>
        <v>0</v>
      </c>
      <c r="R18" s="355"/>
    </row>
    <row r="19" ht="18.75" customHeight="1">
      <c r="A19" s="289"/>
      <c r="B19" s="365" t="s">
        <v>31</v>
      </c>
      <c r="C19" s="366" t="s">
        <v>58</v>
      </c>
      <c r="D19" s="366" t="s">
        <v>59</v>
      </c>
      <c r="E19" s="366" t="s">
        <v>60</v>
      </c>
      <c r="F19" s="366" t="s">
        <v>61</v>
      </c>
      <c r="G19" s="366" t="s">
        <v>19</v>
      </c>
      <c r="H19" s="367" t="str">
        <f>HYPERLINK("https://astranauta.github.io/items.html","Description")</f>
        <v>Description</v>
      </c>
      <c r="I19" s="300"/>
      <c r="J19" s="300"/>
      <c r="K19" s="300"/>
      <c r="L19" s="300"/>
      <c r="M19" s="301"/>
      <c r="N19" s="368"/>
      <c r="O19" s="369" t="s">
        <v>43</v>
      </c>
      <c r="P19" s="370"/>
      <c r="Q19" s="371">
        <f t="array" ref="Q19">SUMIF(PartyEquipStatus,"="&amp;DraftAnimal1,PartyInventoryWeights)+SUMIF(Ch1_PartyEquip,"="&amp;DraftAnimal1,Ch1_InventoryWeights)+SUMIF(Ch2_PartyEquip,"="&amp;DraftAnimal1,Ch2_InventoryWeights)++SUMIF(Ch3_PartyEquip,"="&amp;DraftAnimal1,Ch3_InventoryWeights)++SUMIF(Ch4_PartyEquip,"="&amp;DraftAnimal1,Ch4_InventoryWeights)++SUMIF(Ch5_PartyEquip,"="&amp;DraftAnimal1,Ch5_InventoryWeights)+SUMIF(Ch6_PartyEquip,"="&amp;DraftAnimal1,Ch6_InventoryWeights)+SUMIF(Ch7_PartyEquip,"="&amp;DraftAnimal1,Ch7_InventoryWeights)+SUMIF(Ch8_PartyEquip,"="&amp;DraftAnimal1,Ch8_InventoryWeights)+SUMIF(Ch9_PartyEquip,"="&amp;DraftAnimal1,Ch9_InventoryWeights)</f>
        <v>0</v>
      </c>
      <c r="R19" s="372"/>
    </row>
    <row r="20" ht="18.75" customHeight="1">
      <c r="A20" s="373"/>
      <c r="B20" s="374">
        <f>sum(Party_Money)</f>
        <v>0</v>
      </c>
      <c r="C20" s="325" t="s">
        <v>28</v>
      </c>
      <c r="D20" s="375">
        <v>0.02</v>
      </c>
      <c r="E20" s="375">
        <f t="shared" ref="E20:E201" si="1">IF(ISBLANK(C20),"",IF(ISBLANK(B20),D20,D20*B20))</f>
        <v>0</v>
      </c>
      <c r="F20" s="325"/>
      <c r="G20" s="376"/>
      <c r="H20" s="377"/>
      <c r="M20" s="378"/>
      <c r="N20" s="346">
        <f>IFERROR(VLOOKUP(G20,PartyStorage,2, FALSE),0)</f>
        <v>0</v>
      </c>
      <c r="O20" s="347" t="str">
        <f>IF(ISBLANK(Draft2Size),"",VLOOKUP(Draft2Size,SizeMultipliers,2, FALSE))</f>
        <v/>
      </c>
      <c r="P20" s="348" t="b">
        <f>IF( GT( COUNTIF( Animal_Hitch_Status, DraftAnimal2 ), 0 ), true, false)</f>
        <v>0</v>
      </c>
      <c r="Q20" s="379"/>
      <c r="R20" s="330"/>
    </row>
    <row r="21" ht="18.75" customHeight="1">
      <c r="A21" s="380"/>
      <c r="B21" s="381">
        <f>sum(Party_Gems)</f>
        <v>0</v>
      </c>
      <c r="C21" s="314" t="s">
        <v>48</v>
      </c>
      <c r="D21" s="382">
        <v>0.02</v>
      </c>
      <c r="E21" s="382">
        <f t="shared" si="1"/>
        <v>0</v>
      </c>
      <c r="F21" s="316"/>
      <c r="G21" s="383"/>
      <c r="H21" s="384"/>
      <c r="M21" s="385"/>
      <c r="N21" s="346">
        <f>IFERROR(VLOOKUP(G21,PartyStorage,2, FALSE),0)</f>
        <v>0</v>
      </c>
      <c r="O21" s="290" t="str">
        <f>IF(ISBLANK(DraftAnimal2),"Draft Animal 2",DraftAnimal2)&amp;"'s Encumbrance"</f>
        <v>Draft Animal 2's Encumbrance</v>
      </c>
      <c r="P21" s="300"/>
      <c r="Q21" s="301"/>
      <c r="R21" s="350" t="str">
        <f>DraftAnimal2</f>
        <v/>
      </c>
    </row>
    <row r="22" ht="18.75" customHeight="1">
      <c r="A22" s="380"/>
      <c r="B22" s="374"/>
      <c r="C22" s="325"/>
      <c r="D22" s="375"/>
      <c r="E22" s="375" t="str">
        <f t="shared" si="1"/>
        <v/>
      </c>
      <c r="F22" s="331"/>
      <c r="G22" s="376"/>
      <c r="H22" s="386"/>
      <c r="M22" s="378"/>
      <c r="N22" s="346">
        <f>IFERROR(VLOOKUP(G22,PartyStorage,2, FALSE),0)</f>
        <v>0</v>
      </c>
      <c r="O22" s="352" t="s">
        <v>53</v>
      </c>
      <c r="P22" s="353"/>
      <c r="Q22" s="354">
        <f>Draft2Str*Draft2SizeMult*5</f>
        <v>0</v>
      </c>
      <c r="R22" s="355"/>
    </row>
    <row r="23" ht="18.75" customHeight="1">
      <c r="A23" s="380"/>
      <c r="B23" s="381"/>
      <c r="C23" s="314"/>
      <c r="D23" s="382"/>
      <c r="E23" s="382" t="str">
        <f t="shared" si="1"/>
        <v/>
      </c>
      <c r="F23" s="316"/>
      <c r="G23" s="383"/>
      <c r="H23" s="384"/>
      <c r="M23" s="385"/>
      <c r="N23" s="346">
        <f>IFERROR(VLOOKUP(G23,PartyStorage,2, FALSE),0)</f>
        <v>0</v>
      </c>
      <c r="O23" s="356" t="s">
        <v>55</v>
      </c>
      <c r="P23" s="357"/>
      <c r="Q23" s="358">
        <f>Draft2Str*Draft2SizeMult*10</f>
        <v>0</v>
      </c>
      <c r="R23" s="355"/>
    </row>
    <row r="24" ht="18.75" customHeight="1">
      <c r="A24" s="380"/>
      <c r="B24" s="374"/>
      <c r="C24" s="325"/>
      <c r="D24" s="387"/>
      <c r="E24" s="375" t="str">
        <f t="shared" si="1"/>
        <v/>
      </c>
      <c r="F24" s="331"/>
      <c r="G24" s="376"/>
      <c r="H24" s="377"/>
      <c r="M24" s="378"/>
      <c r="N24" s="346">
        <f>IFERROR(VLOOKUP(G24,PartyStorage,2, FALSE),0)</f>
        <v>0</v>
      </c>
      <c r="O24" s="352" t="s">
        <v>17</v>
      </c>
      <c r="P24" s="353"/>
      <c r="Q24" s="354">
        <f>Draft2Str*Draft2SizeMult*15</f>
        <v>0</v>
      </c>
      <c r="R24" s="355"/>
    </row>
    <row r="25" ht="18.75" customHeight="1">
      <c r="A25" s="380"/>
      <c r="B25" s="381"/>
      <c r="C25" s="314"/>
      <c r="D25" s="382"/>
      <c r="E25" s="382" t="str">
        <f t="shared" si="1"/>
        <v/>
      </c>
      <c r="F25" s="316"/>
      <c r="G25" s="383"/>
      <c r="H25" s="384"/>
      <c r="M25" s="385"/>
      <c r="N25" s="346">
        <f>IFERROR(VLOOKUP(G25,PartyStorage,2, FALSE),0)</f>
        <v>0</v>
      </c>
      <c r="O25" s="356" t="s">
        <v>57</v>
      </c>
      <c r="P25" s="357"/>
      <c r="Q25" s="358">
        <f>Draft2Str*Draft2SizeMult*30</f>
        <v>0</v>
      </c>
      <c r="R25" s="355"/>
    </row>
    <row r="26" ht="18.75" customHeight="1">
      <c r="A26" s="380"/>
      <c r="B26" s="374"/>
      <c r="C26" s="325"/>
      <c r="D26" s="375"/>
      <c r="E26" s="375" t="str">
        <f t="shared" si="1"/>
        <v/>
      </c>
      <c r="F26" s="331"/>
      <c r="G26" s="376"/>
      <c r="H26" s="377"/>
      <c r="M26" s="378"/>
      <c r="N26" s="346">
        <f>IFERROR(VLOOKUP(G26,PartyStorage,2, FALSE),0)</f>
        <v>0</v>
      </c>
      <c r="O26" s="369" t="s">
        <v>43</v>
      </c>
      <c r="P26" s="370"/>
      <c r="Q26" s="371">
        <f t="array" ref="Q26">SUMIF(PartyEquipStatus,"="&amp;DraftAnimal2,PartyInventoryWeights)+SUMIF(Ch1_PartyEquip,"="&amp;DraftAnimal2,Ch1_InventoryWeights)+SUMIF(Ch2_PartyEquip,"="&amp;DraftAnimal2,Ch2_InventoryWeights)++SUMIF(Ch3_PartyEquip,"="&amp;DraftAnimal2,Ch3_InventoryWeights)++SUMIF(Ch4_PartyEquip,"="&amp;DraftAnimal2,Ch4_InventoryWeights)++SUMIF(Ch5_PartyEquip,"="&amp;DraftAnimal2,Ch5_InventoryWeights)+SUMIF(Ch6_PartyEquip,"="&amp;DraftAnimal2,Ch6_InventoryWeights)+SUMIF(Ch7_PartyEquip,"="&amp;DraftAnimal2,Ch7_InventoryWeights)+SUMIF(Ch8_PartyEquip,"="&amp;DraftAnimal2,Ch8_InventoryWeights)+SUMIF(Ch9_PartyEquip,"="&amp;DraftAnimal2,Ch9_InventoryWeights)</f>
        <v>0</v>
      </c>
      <c r="R26" s="372"/>
    </row>
    <row r="27" ht="18.75" customHeight="1">
      <c r="A27" s="380"/>
      <c r="B27" s="381"/>
      <c r="C27" s="314"/>
      <c r="D27" s="382"/>
      <c r="E27" s="382" t="str">
        <f t="shared" si="1"/>
        <v/>
      </c>
      <c r="F27" s="316"/>
      <c r="G27" s="383"/>
      <c r="H27" s="384"/>
      <c r="M27" s="385"/>
      <c r="N27" s="346">
        <f>IFERROR(VLOOKUP(G27,PartyStorage,2, FALSE),0)</f>
        <v>0</v>
      </c>
      <c r="O27" s="329" t="str">
        <f>IF(ISBLANK(Draft3Size),"",VLOOKUP(Draft3Size,SizeMultipliers,2, FALSE))</f>
        <v/>
      </c>
      <c r="P27" s="348" t="b">
        <f>IF( GT( COUNTIF( Animal_Hitch_Status, DraftAnimal3 ), 0 ), true, false)</f>
        <v>0</v>
      </c>
      <c r="R27" s="330"/>
    </row>
    <row r="28" ht="18.75" customHeight="1">
      <c r="A28" s="380"/>
      <c r="B28" s="374"/>
      <c r="C28" s="325"/>
      <c r="D28" s="387"/>
      <c r="E28" s="375" t="str">
        <f t="shared" si="1"/>
        <v/>
      </c>
      <c r="F28" s="331"/>
      <c r="G28" s="376"/>
      <c r="H28" s="377"/>
      <c r="M28" s="378"/>
      <c r="N28" s="346">
        <f>IFERROR(VLOOKUP(G28,PartyStorage,2, FALSE),0)</f>
        <v>0</v>
      </c>
      <c r="O28" s="290" t="str">
        <f>IF(ISBLANK(DraftAnimal3),"Draft Animal 3",DraftAnimal3)&amp;"'s Encumbrance"</f>
        <v>Draft Animal 3's Encumbrance</v>
      </c>
      <c r="P28" s="300"/>
      <c r="Q28" s="301"/>
      <c r="R28" s="350" t="str">
        <f>DraftAnimal3</f>
        <v/>
      </c>
    </row>
    <row r="29" ht="18.75" customHeight="1">
      <c r="A29" s="380"/>
      <c r="B29" s="381"/>
      <c r="C29" s="314"/>
      <c r="D29" s="382"/>
      <c r="E29" s="382" t="str">
        <f t="shared" si="1"/>
        <v/>
      </c>
      <c r="F29" s="316"/>
      <c r="G29" s="383"/>
      <c r="H29" s="384"/>
      <c r="M29" s="385"/>
      <c r="N29" s="346">
        <f>IFERROR(VLOOKUP(G29,PartyStorage,2, FALSE),0)</f>
        <v>0</v>
      </c>
      <c r="O29" s="352" t="s">
        <v>53</v>
      </c>
      <c r="P29" s="353"/>
      <c r="Q29" s="354">
        <f>Draft3Str*Draft3SizeMult*5</f>
        <v>0</v>
      </c>
      <c r="R29" s="355"/>
    </row>
    <row r="30" ht="18.75" customHeight="1">
      <c r="A30" s="380"/>
      <c r="B30" s="374"/>
      <c r="C30" s="325"/>
      <c r="D30" s="375"/>
      <c r="E30" s="375" t="str">
        <f t="shared" si="1"/>
        <v/>
      </c>
      <c r="F30" s="331"/>
      <c r="G30" s="376"/>
      <c r="H30" s="377"/>
      <c r="M30" s="378"/>
      <c r="N30" s="346">
        <f>IFERROR(VLOOKUP(G30,PartyStorage,2, FALSE),0)</f>
        <v>0</v>
      </c>
      <c r="O30" s="356" t="s">
        <v>55</v>
      </c>
      <c r="P30" s="357"/>
      <c r="Q30" s="358">
        <f>Draft3Str*Draft3SizeMult*10</f>
        <v>0</v>
      </c>
      <c r="R30" s="355"/>
    </row>
    <row r="31" ht="18.75" customHeight="1">
      <c r="A31" s="380"/>
      <c r="B31" s="381"/>
      <c r="C31" s="314"/>
      <c r="D31" s="382"/>
      <c r="E31" s="382" t="str">
        <f t="shared" si="1"/>
        <v/>
      </c>
      <c r="F31" s="316"/>
      <c r="G31" s="383"/>
      <c r="H31" s="384"/>
      <c r="M31" s="385"/>
      <c r="N31" s="346">
        <f>IFERROR(VLOOKUP(G31,PartyStorage,2, FALSE),0)</f>
        <v>0</v>
      </c>
      <c r="O31" s="352" t="s">
        <v>17</v>
      </c>
      <c r="P31" s="353"/>
      <c r="Q31" s="354">
        <f>Draft3Str*Draft3SizeMult*15</f>
        <v>0</v>
      </c>
      <c r="R31" s="355"/>
    </row>
    <row r="32" ht="18.75" customHeight="1">
      <c r="A32" s="380"/>
      <c r="B32" s="374"/>
      <c r="C32" s="325"/>
      <c r="D32" s="375"/>
      <c r="E32" s="375" t="str">
        <f t="shared" si="1"/>
        <v/>
      </c>
      <c r="F32" s="331"/>
      <c r="G32" s="376"/>
      <c r="H32" s="377"/>
      <c r="M32" s="378"/>
      <c r="N32" s="346">
        <f>IFERROR(VLOOKUP(G32,PartyStorage,2, FALSE),0)</f>
        <v>0</v>
      </c>
      <c r="O32" s="356" t="s">
        <v>57</v>
      </c>
      <c r="P32" s="357"/>
      <c r="Q32" s="358">
        <f>Draft3Str*Draft3SizeMult*30</f>
        <v>0</v>
      </c>
      <c r="R32" s="355"/>
    </row>
    <row r="33" ht="18.75" customHeight="1">
      <c r="A33" s="380"/>
      <c r="B33" s="381"/>
      <c r="C33" s="314"/>
      <c r="D33" s="382"/>
      <c r="E33" s="382" t="str">
        <f t="shared" si="1"/>
        <v/>
      </c>
      <c r="F33" s="316"/>
      <c r="G33" s="383"/>
      <c r="H33" s="384"/>
      <c r="M33" s="385"/>
      <c r="N33" s="346">
        <f>IFERROR(VLOOKUP(G33,PartyStorage,2, FALSE),0)</f>
        <v>0</v>
      </c>
      <c r="O33" s="369" t="s">
        <v>43</v>
      </c>
      <c r="P33" s="388"/>
      <c r="Q33" s="371">
        <f t="array" ref="Q33">SUMIF(PartyEquipStatus,"="&amp;DraftAnimal3,PartyInventoryWeights)+SUMIF(Ch1_PartyEquip,"="&amp;DraftAnimal3,Ch1_InventoryWeights)+SUMIF(Ch2_PartyEquip,"="&amp;DraftAnimal3,Ch2_InventoryWeights)++SUMIF(Ch3_PartyEquip,"="&amp;DraftAnimal3,Ch3_InventoryWeights)++SUMIF(Ch4_PartyEquip,"="&amp;DraftAnimal3,Ch4_InventoryWeights)++SUMIF(Ch5_PartyEquip,"="&amp;DraftAnimal3,Ch5_InventoryWeights)+SUMIF(Ch6_PartyEquip,"="&amp;DraftAnimal3,Ch6_InventoryWeights)+SUMIF(Ch7_PartyEquip,"="&amp;DraftAnimal3,Ch7_InventoryWeights)+SUMIF(Ch8_PartyEquip,"="&amp;DraftAnimal3,Ch8_InventoryWeights)+SUMIF(Ch9_PartyEquip,"="&amp;DraftAnimal3,Ch9_InventoryWeights)</f>
        <v>0</v>
      </c>
      <c r="R33" s="372"/>
    </row>
    <row r="34" ht="18.75" customHeight="1">
      <c r="A34" s="380"/>
      <c r="B34" s="374"/>
      <c r="C34" s="325"/>
      <c r="D34" s="375"/>
      <c r="E34" s="375" t="str">
        <f t="shared" si="1"/>
        <v/>
      </c>
      <c r="F34" s="331"/>
      <c r="G34" s="376"/>
      <c r="H34" s="377"/>
      <c r="M34" s="378"/>
      <c r="N34" s="346">
        <f>IFERROR(VLOOKUP(G34,PartyStorage,2, FALSE),0)</f>
        <v>0</v>
      </c>
      <c r="O34" s="348" t="str">
        <f>IF(ISBLANK(Draft4Size),"",VLOOKUP(Draft4Size,SizeMultipliers,2, FALSE))</f>
        <v/>
      </c>
      <c r="P34" s="348" t="b">
        <f>IF( GT( COUNTIF( Animal_Hitch_Status, DraftAnimal4 ), 0 ), true, false)</f>
        <v>0</v>
      </c>
      <c r="R34" s="330"/>
    </row>
    <row r="35" ht="18.75" customHeight="1">
      <c r="A35" s="380"/>
      <c r="B35" s="381"/>
      <c r="C35" s="314"/>
      <c r="D35" s="382"/>
      <c r="E35" s="382" t="str">
        <f t="shared" si="1"/>
        <v/>
      </c>
      <c r="F35" s="316"/>
      <c r="G35" s="383"/>
      <c r="H35" s="384"/>
      <c r="M35" s="385"/>
      <c r="N35" s="346">
        <f>IFERROR(VLOOKUP(G35,PartyStorage,2, FALSE),0)</f>
        <v>0</v>
      </c>
      <c r="O35" s="290" t="str">
        <f>IF(ISBLANK(DraftAnimal4),"Draft Animal 4",DraftAnimal4)&amp;"'s Encumbrance"</f>
        <v>Draft Animal 4's Encumbrance</v>
      </c>
      <c r="P35" s="300"/>
      <c r="Q35" s="301"/>
      <c r="R35" s="350" t="str">
        <f>DraftAnimal4</f>
        <v/>
      </c>
    </row>
    <row r="36" ht="18.75" customHeight="1">
      <c r="A36" s="380"/>
      <c r="B36" s="374"/>
      <c r="C36" s="325"/>
      <c r="D36" s="375"/>
      <c r="E36" s="375" t="str">
        <f t="shared" si="1"/>
        <v/>
      </c>
      <c r="F36" s="331"/>
      <c r="G36" s="376"/>
      <c r="H36" s="377"/>
      <c r="M36" s="378"/>
      <c r="N36" s="346">
        <f>IFERROR(VLOOKUP(G36,PartyStorage,2, FALSE),0)</f>
        <v>0</v>
      </c>
      <c r="O36" s="352" t="s">
        <v>53</v>
      </c>
      <c r="P36" s="353"/>
      <c r="Q36" s="354">
        <f>Draft4Str*Draft4SizeMult*5</f>
        <v>0</v>
      </c>
      <c r="R36" s="355"/>
    </row>
    <row r="37" ht="18.75" customHeight="1">
      <c r="A37" s="380"/>
      <c r="B37" s="381"/>
      <c r="C37" s="314"/>
      <c r="D37" s="382"/>
      <c r="E37" s="382" t="str">
        <f t="shared" si="1"/>
        <v/>
      </c>
      <c r="F37" s="316"/>
      <c r="G37" s="383"/>
      <c r="H37" s="384"/>
      <c r="M37" s="385"/>
      <c r="N37" s="346">
        <f>IFERROR(VLOOKUP(G37,PartyStorage,2, FALSE),0)</f>
        <v>0</v>
      </c>
      <c r="O37" s="356" t="s">
        <v>55</v>
      </c>
      <c r="P37" s="357"/>
      <c r="Q37" s="358">
        <f>Draft4Str*Draft4SizeMult*10</f>
        <v>0</v>
      </c>
      <c r="R37" s="355"/>
    </row>
    <row r="38" ht="18.75" customHeight="1">
      <c r="A38" s="380"/>
      <c r="B38" s="374"/>
      <c r="C38" s="325"/>
      <c r="D38" s="375"/>
      <c r="E38" s="375" t="str">
        <f t="shared" si="1"/>
        <v/>
      </c>
      <c r="F38" s="331"/>
      <c r="G38" s="376"/>
      <c r="H38" s="377"/>
      <c r="M38" s="378"/>
      <c r="N38" s="346">
        <f>IFERROR(VLOOKUP(G38,PartyStorage,2, FALSE),0)</f>
        <v>0</v>
      </c>
      <c r="O38" s="352" t="s">
        <v>17</v>
      </c>
      <c r="P38" s="353"/>
      <c r="Q38" s="354">
        <f>Draft4Str*Draft4SizeMult*15</f>
        <v>0</v>
      </c>
      <c r="R38" s="355"/>
    </row>
    <row r="39" ht="18.75" customHeight="1">
      <c r="A39" s="380"/>
      <c r="B39" s="381"/>
      <c r="C39" s="314"/>
      <c r="D39" s="389"/>
      <c r="E39" s="382" t="str">
        <f t="shared" si="1"/>
        <v/>
      </c>
      <c r="F39" s="316"/>
      <c r="G39" s="383"/>
      <c r="H39" s="384"/>
      <c r="M39" s="385"/>
      <c r="N39" s="346">
        <f>IFERROR(VLOOKUP(G39,PartyStorage,2, FALSE),0)</f>
        <v>0</v>
      </c>
      <c r="O39" s="356" t="s">
        <v>57</v>
      </c>
      <c r="P39" s="357"/>
      <c r="Q39" s="358">
        <f>Draft4Str*Draft4SizeMult*30</f>
        <v>0</v>
      </c>
      <c r="R39" s="355"/>
    </row>
    <row r="40" ht="18.75" customHeight="1">
      <c r="A40" s="380"/>
      <c r="B40" s="374"/>
      <c r="C40" s="325"/>
      <c r="D40" s="375"/>
      <c r="E40" s="375" t="str">
        <f t="shared" si="1"/>
        <v/>
      </c>
      <c r="F40" s="331"/>
      <c r="G40" s="376"/>
      <c r="H40" s="377"/>
      <c r="M40" s="378"/>
      <c r="N40" s="346">
        <f>IFERROR(VLOOKUP(G40,PartyStorage,2, FALSE),0)</f>
        <v>0</v>
      </c>
      <c r="O40" s="369" t="s">
        <v>43</v>
      </c>
      <c r="P40" s="388"/>
      <c r="Q40" s="371">
        <f t="array" ref="Q40">SUMIF(PartyEquipStatus,"="&amp;DraftAnimal4,PartyInventoryWeights)+SUMIF(Ch1_PartyEquip,"="&amp;DraftAnimal4,Ch1_InventoryWeights)+SUMIF(Ch2_PartyEquip,"="&amp;DraftAnimal4,Ch2_InventoryWeights)++SUMIF(Ch3_PartyEquip,"="&amp;DraftAnimal4,Ch3_InventoryWeights)++SUMIF(Ch4_PartyEquip,"="&amp;DraftAnimal4,Ch4_InventoryWeights)++SUMIF(Ch5_PartyEquip,"="&amp;DraftAnimal4,Ch5_InventoryWeights)+SUMIF(Ch6_PartyEquip,"="&amp;DraftAnimal4,Ch6_InventoryWeights)+SUMIF(Ch7_PartyEquip,"="&amp;DraftAnimal4,Ch7_InventoryWeights)+SUMIF(Ch8_PartyEquip,"="&amp;DraftAnimal4,Ch8_InventoryWeights)+SUMIF(Ch9_PartyEquip,"="&amp;DraftAnimal4,Ch9_InventoryWeights)</f>
        <v>0</v>
      </c>
      <c r="R40" s="372"/>
    </row>
    <row r="41" ht="18.75" customHeight="1">
      <c r="A41" s="380"/>
      <c r="B41" s="381"/>
      <c r="C41" s="314"/>
      <c r="D41" s="382"/>
      <c r="E41" s="382" t="str">
        <f t="shared" si="1"/>
        <v/>
      </c>
      <c r="F41" s="316"/>
      <c r="G41" s="383"/>
      <c r="H41" s="384"/>
      <c r="M41" s="385"/>
      <c r="N41" s="346">
        <f>IFERROR(VLOOKUP(G41,PartyStorage,2, FALSE),0)</f>
        <v>0</v>
      </c>
      <c r="O41" s="348" t="str">
        <f>IF(ISBLANK(Draft5Size),"",VLOOKUP(Draft5Size,SizeMultipliers,2, FALSE))</f>
        <v/>
      </c>
      <c r="P41" s="348" t="b">
        <f>IF( GT( COUNTIF( Animal_Hitch_Status, DraftAnimal5 ), 0 ), true, false)</f>
        <v>0</v>
      </c>
      <c r="Q41" s="114"/>
      <c r="R41" s="330"/>
    </row>
    <row r="42" ht="18.75" customHeight="1">
      <c r="A42" s="380"/>
      <c r="B42" s="374"/>
      <c r="C42" s="390"/>
      <c r="D42" s="375"/>
      <c r="E42" s="375" t="str">
        <f t="shared" si="1"/>
        <v/>
      </c>
      <c r="F42" s="331"/>
      <c r="G42" s="376"/>
      <c r="H42" s="386"/>
      <c r="M42" s="378"/>
      <c r="N42" s="346">
        <f>IFERROR(VLOOKUP(G42,PartyStorage,2, FALSE),0)</f>
        <v>0</v>
      </c>
      <c r="O42" s="290" t="str">
        <f>IF(ISBLANK(DraftAnimal5),"Draft Animal 5",DraftAnimal5)&amp;"'s Encumbrance"</f>
        <v>Draft Animal 5's Encumbrance</v>
      </c>
      <c r="P42" s="300"/>
      <c r="Q42" s="301"/>
      <c r="R42" s="350" t="str">
        <f>DraftAnimal5</f>
        <v/>
      </c>
    </row>
    <row r="43" ht="18.75" customHeight="1">
      <c r="A43" s="380"/>
      <c r="B43" s="381"/>
      <c r="C43" s="314"/>
      <c r="D43" s="382"/>
      <c r="E43" s="382" t="str">
        <f t="shared" si="1"/>
        <v/>
      </c>
      <c r="F43" s="316"/>
      <c r="G43" s="383"/>
      <c r="H43" s="391"/>
      <c r="M43" s="385"/>
      <c r="N43" s="346">
        <f>IFERROR(VLOOKUP(G43,PartyStorage,2, FALSE),0)</f>
        <v>0</v>
      </c>
      <c r="O43" s="352" t="s">
        <v>53</v>
      </c>
      <c r="P43" s="353"/>
      <c r="Q43" s="354">
        <f>Draft5Str*Draft5SizeMult*5</f>
        <v>0</v>
      </c>
      <c r="R43" s="355"/>
    </row>
    <row r="44" ht="18.75" customHeight="1">
      <c r="A44" s="380"/>
      <c r="B44" s="374"/>
      <c r="C44" s="325"/>
      <c r="D44" s="375"/>
      <c r="E44" s="375" t="str">
        <f t="shared" si="1"/>
        <v/>
      </c>
      <c r="F44" s="331"/>
      <c r="G44" s="376"/>
      <c r="H44" s="386"/>
      <c r="M44" s="378"/>
      <c r="N44" s="346">
        <f>IFERROR(VLOOKUP(G44,PartyStorage,2, FALSE),0)</f>
        <v>0</v>
      </c>
      <c r="O44" s="356" t="s">
        <v>55</v>
      </c>
      <c r="P44" s="357"/>
      <c r="Q44" s="358">
        <f>Draft5Str*Draft5SizeMult*10</f>
        <v>0</v>
      </c>
      <c r="R44" s="355"/>
    </row>
    <row r="45" ht="18.75" customHeight="1">
      <c r="A45" s="380"/>
      <c r="B45" s="381"/>
      <c r="C45" s="314"/>
      <c r="D45" s="389"/>
      <c r="E45" s="382" t="str">
        <f t="shared" si="1"/>
        <v/>
      </c>
      <c r="F45" s="392"/>
      <c r="G45" s="383"/>
      <c r="H45" s="391"/>
      <c r="M45" s="385"/>
      <c r="N45" s="346">
        <f>IFERROR(VLOOKUP(G45,PartyStorage,2, FALSE),0)</f>
        <v>0</v>
      </c>
      <c r="O45" s="352" t="s">
        <v>17</v>
      </c>
      <c r="P45" s="353"/>
      <c r="Q45" s="354">
        <f>Draft5Str*Draft5SizeMult*15</f>
        <v>0</v>
      </c>
      <c r="R45" s="355"/>
    </row>
    <row r="46" ht="18.75" customHeight="1">
      <c r="A46" s="380"/>
      <c r="B46" s="374"/>
      <c r="C46" s="325"/>
      <c r="D46" s="375"/>
      <c r="E46" s="375" t="str">
        <f t="shared" si="1"/>
        <v/>
      </c>
      <c r="F46" s="393"/>
      <c r="G46" s="376"/>
      <c r="H46" s="377"/>
      <c r="M46" s="378"/>
      <c r="N46" s="346">
        <f>IFERROR(VLOOKUP(G46,PartyStorage,2, FALSE),0)</f>
        <v>0</v>
      </c>
      <c r="O46" s="356" t="s">
        <v>57</v>
      </c>
      <c r="P46" s="357"/>
      <c r="Q46" s="358">
        <f>Draft5Str*Draft5SizeMult*30</f>
        <v>0</v>
      </c>
      <c r="R46" s="355"/>
    </row>
    <row r="47" ht="18.75" customHeight="1">
      <c r="A47" s="380"/>
      <c r="B47" s="381"/>
      <c r="C47" s="314"/>
      <c r="D47" s="382"/>
      <c r="E47" s="382" t="str">
        <f t="shared" si="1"/>
        <v/>
      </c>
      <c r="F47" s="392"/>
      <c r="G47" s="383"/>
      <c r="H47" s="391"/>
      <c r="M47" s="385"/>
      <c r="N47" s="346">
        <f>IFERROR(VLOOKUP('Hidden 796318378'!G87,PartyStorage,2, FALSE),0)</f>
        <v>0</v>
      </c>
      <c r="O47" s="369" t="s">
        <v>43</v>
      </c>
      <c r="P47" s="388"/>
      <c r="Q47" s="371">
        <f t="array" ref="Q47">SUMIF(PartyEquipStatus,"="&amp;DraftAnimal5,PartyInventoryWeights)+SUMIF(Ch1_PartyEquip,"="&amp;DraftAnimal5,Ch1_InventoryWeights)+SUMIF(Ch2_PartyEquip,"="&amp;DraftAnimal5,Ch2_InventoryWeights)++SUMIF(Ch3_PartyEquip,"="&amp;DraftAnimal5,Ch3_InventoryWeights)++SUMIF(Ch4_PartyEquip,"="&amp;DraftAnimal5,Ch4_InventoryWeights)++SUMIF(Ch5_PartyEquip,"="&amp;DraftAnimal5,Ch5_InventoryWeights)+SUMIF(Ch6_PartyEquip,"="&amp;DraftAnimal5,Ch6_InventoryWeights)+SUMIF(Ch7_PartyEquip,"="&amp;DraftAnimal5,Ch7_InventoryWeights)+SUMIF(Ch8_PartyEquip,"="&amp;DraftAnimal5,Ch8_InventoryWeights)+SUMIF(Ch9_PartyEquip,"="&amp;DraftAnimal5,Ch9_InventoryWeights)</f>
        <v>0</v>
      </c>
      <c r="R47" s="372"/>
    </row>
    <row r="48" ht="18.75" customHeight="1">
      <c r="A48" s="380"/>
      <c r="B48" s="374"/>
      <c r="C48" s="325"/>
      <c r="D48" s="375"/>
      <c r="E48" s="375" t="str">
        <f t="shared" si="1"/>
        <v/>
      </c>
      <c r="F48" s="331"/>
      <c r="G48" s="376"/>
      <c r="H48" s="386"/>
      <c r="M48" s="378"/>
      <c r="N48" s="346">
        <f>IFERROR(VLOOKUP(G48,PartyStorage,2, FALSE),0)</f>
        <v>0</v>
      </c>
      <c r="O48" s="348" t="str">
        <f>IF(ISBLANK(Draft6Size),"",VLOOKUP(Draft6Size,SizeMultipliers,2, FALSE))</f>
        <v/>
      </c>
      <c r="P48" s="348" t="b">
        <f>IF( GT( COUNTIF( Animal_Hitch_Status, DraftAnimal6 ), 0 ), true, false)</f>
        <v>0</v>
      </c>
      <c r="R48" s="330"/>
    </row>
    <row r="49" ht="18.75" customHeight="1">
      <c r="A49" s="380"/>
      <c r="B49" s="381"/>
      <c r="C49" s="314"/>
      <c r="D49" s="382"/>
      <c r="E49" s="382" t="str">
        <f t="shared" si="1"/>
        <v/>
      </c>
      <c r="F49" s="316"/>
      <c r="G49" s="383"/>
      <c r="H49" s="384"/>
      <c r="M49" s="385"/>
      <c r="N49" s="346">
        <f>IFERROR(VLOOKUP(G49,PartyStorage,2, FALSE),0)</f>
        <v>0</v>
      </c>
      <c r="O49" s="290" t="str">
        <f>IF(ISBLANK(DraftAnimal6),"Draft Animal 6",DraftAnimal6)&amp;"'s Encumbrance"</f>
        <v>Draft Animal 6's Encumbrance</v>
      </c>
      <c r="P49" s="300"/>
      <c r="Q49" s="301"/>
      <c r="R49" s="394" t="str">
        <f>DraftAnimal6</f>
        <v/>
      </c>
    </row>
    <row r="50" ht="18.75" customHeight="1">
      <c r="A50" s="380"/>
      <c r="B50" s="374"/>
      <c r="C50" s="325"/>
      <c r="D50" s="375"/>
      <c r="E50" s="375" t="str">
        <f t="shared" si="1"/>
        <v/>
      </c>
      <c r="F50" s="331"/>
      <c r="G50" s="376"/>
      <c r="H50" s="377"/>
      <c r="M50" s="378"/>
      <c r="N50" s="346">
        <f>IFERROR(VLOOKUP(G50,PartyStorage,2, FALSE),0)</f>
        <v>0</v>
      </c>
      <c r="O50" s="352" t="s">
        <v>53</v>
      </c>
      <c r="P50" s="353"/>
      <c r="Q50" s="354">
        <f>Draft6Str*Draft6SizeMult*5</f>
        <v>0</v>
      </c>
      <c r="R50" s="355"/>
    </row>
    <row r="51" ht="18.75" customHeight="1">
      <c r="A51" s="380"/>
      <c r="B51" s="381"/>
      <c r="C51" s="314"/>
      <c r="D51" s="382"/>
      <c r="E51" s="382" t="str">
        <f t="shared" si="1"/>
        <v/>
      </c>
      <c r="F51" s="316"/>
      <c r="G51" s="383"/>
      <c r="H51" s="384"/>
      <c r="M51" s="385"/>
      <c r="N51" s="346">
        <f>IFERROR(VLOOKUP(G51,PartyStorage,2, FALSE),0)</f>
        <v>0</v>
      </c>
      <c r="O51" s="356" t="s">
        <v>55</v>
      </c>
      <c r="P51" s="357"/>
      <c r="Q51" s="358">
        <f>Draft6Str*Draft6SizeMult*10</f>
        <v>0</v>
      </c>
      <c r="R51" s="355"/>
    </row>
    <row r="52" ht="18.75" customHeight="1">
      <c r="A52" s="380"/>
      <c r="B52" s="374"/>
      <c r="C52" s="325"/>
      <c r="D52" s="387"/>
      <c r="E52" s="375" t="str">
        <f t="shared" si="1"/>
        <v/>
      </c>
      <c r="F52" s="395"/>
      <c r="G52" s="376"/>
      <c r="H52" s="377"/>
      <c r="M52" s="378"/>
      <c r="N52" s="346">
        <f>IFERROR(VLOOKUP(G52,PartyStorage,2, FALSE),0)</f>
        <v>0</v>
      </c>
      <c r="O52" s="352" t="s">
        <v>17</v>
      </c>
      <c r="P52" s="353"/>
      <c r="Q52" s="354">
        <f>Draft6Str*Draft6SizeMult*15</f>
        <v>0</v>
      </c>
      <c r="R52" s="355"/>
    </row>
    <row r="53" ht="18.75" customHeight="1">
      <c r="A53" s="380"/>
      <c r="B53" s="381"/>
      <c r="C53" s="314"/>
      <c r="D53" s="382"/>
      <c r="E53" s="382" t="str">
        <f t="shared" si="1"/>
        <v/>
      </c>
      <c r="F53" s="316"/>
      <c r="G53" s="383"/>
      <c r="H53" s="391"/>
      <c r="M53" s="385"/>
      <c r="N53" s="346">
        <f>IFERROR(VLOOKUP(G53,PartyStorage,2, FALSE),0)</f>
        <v>0</v>
      </c>
      <c r="O53" s="356" t="s">
        <v>57</v>
      </c>
      <c r="P53" s="357"/>
      <c r="Q53" s="358">
        <f>Draft6Str*Draft6SizeMult*30</f>
        <v>0</v>
      </c>
      <c r="R53" s="355"/>
    </row>
    <row r="54" ht="18.75" customHeight="1">
      <c r="A54" s="380"/>
      <c r="B54" s="374"/>
      <c r="C54" s="325"/>
      <c r="D54" s="375"/>
      <c r="E54" s="375" t="str">
        <f t="shared" si="1"/>
        <v/>
      </c>
      <c r="F54" s="331"/>
      <c r="G54" s="376"/>
      <c r="H54" s="386"/>
      <c r="M54" s="378"/>
      <c r="N54" s="346">
        <f>IFERROR(VLOOKUP(G54,PartyStorage,2, FALSE),0)</f>
        <v>0</v>
      </c>
      <c r="O54" s="369" t="s">
        <v>43</v>
      </c>
      <c r="P54" s="388"/>
      <c r="Q54" s="371">
        <f t="array" ref="Q54">SUMIF(PartyEquipStatus,"="&amp;DraftAnimal6,PartyInventoryWeights)+SUMIF(Ch1_PartyEquip,"="&amp;DraftAnimal6,Ch1_InventoryWeights)+SUMIF(Ch2_PartyEquip,"="&amp;DraftAnimal6,Ch2_InventoryWeights)++SUMIF(Ch3_PartyEquip,"="&amp;DraftAnimal6,Ch3_InventoryWeights)++SUMIF(Ch4_PartyEquip,"="&amp;DraftAnimal6,Ch4_InventoryWeights)++SUMIF(Ch5_PartyEquip,"="&amp;DraftAnimal6,Ch5_InventoryWeights)+SUMIF(Ch6_PartyEquip,"="&amp;DraftAnimal6,Ch6_InventoryWeights)+SUMIF(Ch7_PartyEquip,"="&amp;DraftAnimal6,Ch7_InventoryWeights)+SUMIF(Ch8_PartyEquip,"="&amp;DraftAnimal6,Ch8_InventoryWeights)+SUMIF(Ch9_PartyEquip,"="&amp;DraftAnimal6,Ch9_InventoryWeights)</f>
        <v>0</v>
      </c>
      <c r="R54" s="372"/>
    </row>
    <row r="55" ht="18.75" customHeight="1">
      <c r="A55" s="380"/>
      <c r="B55" s="381"/>
      <c r="C55" s="314"/>
      <c r="D55" s="382"/>
      <c r="E55" s="382" t="str">
        <f t="shared" si="1"/>
        <v/>
      </c>
      <c r="F55" s="316"/>
      <c r="G55" s="383"/>
      <c r="H55" s="391"/>
      <c r="M55" s="385"/>
      <c r="N55" s="346">
        <f>IFERROR(VLOOKUP(G55,PartyStorage,2, FALSE),0)</f>
        <v>0</v>
      </c>
      <c r="O55" s="348" t="str">
        <f>IF(ISBLANK(Draft7Size),"",VLOOKUP(Draft7Size,SizeMultipliers,2, FALSE))</f>
        <v/>
      </c>
      <c r="P55" s="348" t="b">
        <f>IF( GT( COUNTIF( Animal_Hitch_Status, DraftAnimal7 ), 0 ), true, false)</f>
        <v>0</v>
      </c>
      <c r="R55" s="330"/>
    </row>
    <row r="56" ht="18.75" customHeight="1">
      <c r="A56" s="380"/>
      <c r="B56" s="374"/>
      <c r="C56" s="393"/>
      <c r="D56" s="387"/>
      <c r="E56" s="375" t="str">
        <f t="shared" si="1"/>
        <v/>
      </c>
      <c r="F56" s="331"/>
      <c r="G56" s="376"/>
      <c r="H56" s="386"/>
      <c r="M56" s="378"/>
      <c r="N56" s="346">
        <f>IFERROR(VLOOKUP(G56,PartyStorage,2, FALSE),0)</f>
        <v>0</v>
      </c>
      <c r="O56" s="290" t="str">
        <f>IF(ISBLANK(DraftAnimal7),"Draft Animal 7",DraftAnimal7)&amp;"'s Encumbrance"</f>
        <v>Draft Animal 7's Encumbrance</v>
      </c>
      <c r="P56" s="300"/>
      <c r="Q56" s="301"/>
      <c r="R56" s="394" t="str">
        <f>DraftAnimal7</f>
        <v/>
      </c>
    </row>
    <row r="57" ht="18.75" customHeight="1">
      <c r="A57" s="380"/>
      <c r="B57" s="396"/>
      <c r="C57" s="392"/>
      <c r="D57" s="389"/>
      <c r="E57" s="382" t="str">
        <f t="shared" si="1"/>
        <v/>
      </c>
      <c r="F57" s="316"/>
      <c r="G57" s="383"/>
      <c r="H57" s="384"/>
      <c r="M57" s="385"/>
      <c r="N57" s="346">
        <f>IFERROR(VLOOKUP(G57,PartyStorage,2, FALSE),0)</f>
        <v>0</v>
      </c>
      <c r="O57" s="352" t="s">
        <v>53</v>
      </c>
      <c r="P57" s="353"/>
      <c r="Q57" s="354">
        <f>Draft7Str*Draft7SizeMult*5</f>
        <v>0</v>
      </c>
      <c r="R57" s="355"/>
    </row>
    <row r="58" ht="18.75" customHeight="1">
      <c r="A58" s="380"/>
      <c r="B58" s="397"/>
      <c r="C58" s="398"/>
      <c r="D58" s="387"/>
      <c r="E58" s="375" t="str">
        <f t="shared" si="1"/>
        <v/>
      </c>
      <c r="F58" s="325"/>
      <c r="G58" s="376"/>
      <c r="H58" s="399"/>
      <c r="M58" s="378"/>
      <c r="N58" s="346">
        <f>IFERROR(VLOOKUP(G58,PartyStorage,2, FALSE),0)</f>
        <v>0</v>
      </c>
      <c r="O58" s="356" t="s">
        <v>55</v>
      </c>
      <c r="P58" s="357"/>
      <c r="Q58" s="358">
        <f>Draft7Str*Draft7SizeMult*10</f>
        <v>0</v>
      </c>
      <c r="R58" s="355"/>
    </row>
    <row r="59" ht="18.75" customHeight="1">
      <c r="A59" s="380"/>
      <c r="B59" s="396"/>
      <c r="C59" s="400"/>
      <c r="D59" s="382"/>
      <c r="E59" s="382" t="str">
        <f t="shared" si="1"/>
        <v/>
      </c>
      <c r="F59" s="316"/>
      <c r="G59" s="383"/>
      <c r="H59" s="391"/>
      <c r="M59" s="385"/>
      <c r="N59" s="346">
        <f>IFERROR(VLOOKUP(G59,PartyStorage,2, FALSE),0)</f>
        <v>0</v>
      </c>
      <c r="O59" s="352" t="s">
        <v>17</v>
      </c>
      <c r="P59" s="353"/>
      <c r="Q59" s="354">
        <f>Draft7Str*Draft7SizeMult*15</f>
        <v>0</v>
      </c>
      <c r="R59" s="355"/>
    </row>
    <row r="60" ht="18.75" customHeight="1">
      <c r="A60" s="380"/>
      <c r="B60" s="374"/>
      <c r="C60" s="390"/>
      <c r="D60" s="375"/>
      <c r="E60" s="375" t="str">
        <f t="shared" si="1"/>
        <v/>
      </c>
      <c r="F60" s="331"/>
      <c r="G60" s="376"/>
      <c r="H60" s="386"/>
      <c r="M60" s="378"/>
      <c r="N60" s="346">
        <f>IFERROR(VLOOKUP(G60,PartyStorage,2, FALSE),0)</f>
        <v>0</v>
      </c>
      <c r="O60" s="356" t="s">
        <v>57</v>
      </c>
      <c r="P60" s="357"/>
      <c r="Q60" s="358">
        <f>Draft7Str*Draft7SizeMult*30</f>
        <v>0</v>
      </c>
      <c r="R60" s="355"/>
    </row>
    <row r="61" ht="18.75" customHeight="1">
      <c r="A61" s="380"/>
      <c r="B61" s="381"/>
      <c r="C61" s="314"/>
      <c r="D61" s="382"/>
      <c r="E61" s="382" t="str">
        <f t="shared" si="1"/>
        <v/>
      </c>
      <c r="F61" s="316"/>
      <c r="G61" s="383"/>
      <c r="H61" s="384"/>
      <c r="M61" s="385"/>
      <c r="N61" s="346">
        <f>IFERROR(VLOOKUP(G61,PartyStorage,2, FALSE),0)</f>
        <v>0</v>
      </c>
      <c r="O61" s="369" t="s">
        <v>43</v>
      </c>
      <c r="P61" s="388"/>
      <c r="Q61" s="371">
        <f t="array" ref="Q61">SUMIF(PartyEquipStatus,"="&amp;DraftAnimal7,PartyInventoryWeights)+SUMIF(Ch1_PartyEquip,"="&amp;DraftAnimal7,Ch1_InventoryWeights)+SUMIF(Ch2_PartyEquip,"="&amp;DraftAnimal7,Ch2_InventoryWeights)++SUMIF(Ch3_PartyEquip,"="&amp;DraftAnimal7,Ch3_InventoryWeights)++SUMIF(Ch4_PartyEquip,"="&amp;DraftAnimal7,Ch4_InventoryWeights)++SUMIF(Ch5_PartyEquip,"="&amp;DraftAnimal7,Ch5_InventoryWeights)+SUMIF(Ch6_PartyEquip,"="&amp;DraftAnimal7,Ch6_InventoryWeights)+SUMIF(Ch7_PartyEquip,"="&amp;DraftAnimal7,Ch7_InventoryWeights)+SUMIF(Ch8_PartyEquip,"="&amp;DraftAnimal7,Ch8_InventoryWeights)+SUMIF(Ch9_PartyEquip,"="&amp;DraftAnimal7,Ch9_InventoryWeights)</f>
        <v>0</v>
      </c>
      <c r="R61" s="372"/>
    </row>
    <row r="62" ht="18.75" customHeight="1">
      <c r="A62" s="380"/>
      <c r="B62" s="374"/>
      <c r="C62" s="401"/>
      <c r="D62" s="375"/>
      <c r="E62" s="375" t="str">
        <f t="shared" si="1"/>
        <v/>
      </c>
      <c r="F62" s="331"/>
      <c r="G62" s="376"/>
      <c r="H62" s="386"/>
      <c r="M62" s="378"/>
      <c r="N62" s="346">
        <f>IFERROR(VLOOKUP(G62,PartyStorage,2, FALSE),0)</f>
        <v>0</v>
      </c>
      <c r="O62" s="348" t="str">
        <f>IF(ISBLANK(Draft8Size),"",VLOOKUP(Draft8Size,SizeMultipliers,2, FALSE))</f>
        <v/>
      </c>
      <c r="P62" s="348" t="b">
        <f>IF( GT( COUNTIF( Animal_Hitch_Status, DraftAnimal8 ), 0 ), true, false)</f>
        <v>0</v>
      </c>
      <c r="Q62" s="114"/>
      <c r="R62" s="330"/>
    </row>
    <row r="63" ht="18.75" customHeight="1">
      <c r="A63" s="380"/>
      <c r="B63" s="402"/>
      <c r="C63" s="403"/>
      <c r="D63" s="404"/>
      <c r="E63" s="382" t="str">
        <f t="shared" si="1"/>
        <v/>
      </c>
      <c r="F63" s="316"/>
      <c r="G63" s="383"/>
      <c r="H63" s="391"/>
      <c r="M63" s="385"/>
      <c r="N63" s="346">
        <f>IFERROR(VLOOKUP(G63,PartyStorage,2, FALSE),0)</f>
        <v>0</v>
      </c>
      <c r="O63" s="290" t="str">
        <f>IF(ISBLANK(DraftAnimal8),"Draft Animal 8",DraftAnimal8)&amp;"'s Encumbrance"</f>
        <v>Draft Animal 8's Encumbrance</v>
      </c>
      <c r="P63" s="300"/>
      <c r="Q63" s="301"/>
      <c r="R63" s="394" t="str">
        <f>DraftAnimal8</f>
        <v/>
      </c>
    </row>
    <row r="64" ht="18.75" customHeight="1">
      <c r="A64" s="380"/>
      <c r="B64" s="405"/>
      <c r="C64" s="406"/>
      <c r="D64" s="407"/>
      <c r="E64" s="375" t="str">
        <f t="shared" si="1"/>
        <v/>
      </c>
      <c r="F64" s="395"/>
      <c r="G64" s="376"/>
      <c r="H64" s="386"/>
      <c r="M64" s="378"/>
      <c r="N64" s="346">
        <f>IFERROR(VLOOKUP(G64,PartyStorage,2, FALSE),0)</f>
        <v>0</v>
      </c>
      <c r="O64" s="352" t="s">
        <v>53</v>
      </c>
      <c r="P64" s="353"/>
      <c r="Q64" s="354">
        <f>Draft8Str*Draft8SizeMult*5</f>
        <v>0</v>
      </c>
      <c r="R64" s="355"/>
    </row>
    <row r="65" ht="18.75" customHeight="1">
      <c r="A65" s="380"/>
      <c r="B65" s="381"/>
      <c r="C65" s="314"/>
      <c r="D65" s="382"/>
      <c r="E65" s="382" t="str">
        <f t="shared" si="1"/>
        <v/>
      </c>
      <c r="F65" s="408"/>
      <c r="G65" s="383"/>
      <c r="H65" s="384"/>
      <c r="M65" s="385"/>
      <c r="N65" s="346">
        <f>IFERROR(VLOOKUP(G65,PartyStorage,2, FALSE),0)</f>
        <v>0</v>
      </c>
      <c r="O65" s="356" t="s">
        <v>55</v>
      </c>
      <c r="P65" s="357"/>
      <c r="Q65" s="358">
        <f>Draft8Str*Draft8SizeMult*10</f>
        <v>0</v>
      </c>
      <c r="R65" s="355"/>
    </row>
    <row r="66" ht="18.75" customHeight="1">
      <c r="A66" s="380"/>
      <c r="B66" s="374"/>
      <c r="C66" s="325"/>
      <c r="D66" s="387"/>
      <c r="E66" s="375" t="str">
        <f t="shared" si="1"/>
        <v/>
      </c>
      <c r="F66" s="325"/>
      <c r="G66" s="376"/>
      <c r="H66" s="386"/>
      <c r="M66" s="378"/>
      <c r="N66" s="346">
        <f>IFERROR(VLOOKUP(G66,PartyStorage,2, FALSE),0)</f>
        <v>0</v>
      </c>
      <c r="O66" s="352" t="s">
        <v>17</v>
      </c>
      <c r="P66" s="353"/>
      <c r="Q66" s="354">
        <f>Draft8Str*Draft8SizeMult*15</f>
        <v>0</v>
      </c>
      <c r="R66" s="355"/>
    </row>
    <row r="67" ht="18.75" customHeight="1">
      <c r="A67" s="380"/>
      <c r="B67" s="381"/>
      <c r="C67" s="314"/>
      <c r="D67" s="382"/>
      <c r="E67" s="382" t="str">
        <f t="shared" si="1"/>
        <v/>
      </c>
      <c r="F67" s="316"/>
      <c r="G67" s="383"/>
      <c r="H67" s="391"/>
      <c r="M67" s="385"/>
      <c r="N67" s="346">
        <f>IFERROR(VLOOKUP(G67,PartyStorage,2, FALSE),0)</f>
        <v>0</v>
      </c>
      <c r="O67" s="356" t="s">
        <v>57</v>
      </c>
      <c r="P67" s="357"/>
      <c r="Q67" s="358">
        <f>Draft8Str*Draft8SizeMult*30</f>
        <v>0</v>
      </c>
      <c r="R67" s="355"/>
    </row>
    <row r="68" ht="18.75" customHeight="1">
      <c r="A68" s="380"/>
      <c r="B68" s="374"/>
      <c r="C68" s="325"/>
      <c r="D68" s="387"/>
      <c r="E68" s="375" t="str">
        <f t="shared" si="1"/>
        <v/>
      </c>
      <c r="F68" s="393"/>
      <c r="G68" s="376"/>
      <c r="H68" s="409"/>
      <c r="M68" s="378"/>
      <c r="N68" s="346">
        <f>IFERROR(VLOOKUP(G68,PartyStorage,2, FALSE),0)</f>
        <v>0</v>
      </c>
      <c r="O68" s="369" t="s">
        <v>43</v>
      </c>
      <c r="P68" s="388"/>
      <c r="Q68" s="371">
        <f t="array" ref="Q68">SUMIF(PartyEquipStatus,"="&amp;DraftAnimal8,PartyInventoryWeights)+SUMIF(Ch1_PartyEquip,"="&amp;DraftAnimal8,Ch1_InventoryWeights)+SUMIF(Ch2_PartyEquip,"="&amp;DraftAnimal8,Ch2_InventoryWeights)++SUMIF(Ch3_PartyEquip,"="&amp;DraftAnimal8,Ch3_InventoryWeights)++SUMIF(Ch4_PartyEquip,"="&amp;DraftAnimal8,Ch4_InventoryWeights)++SUMIF(Ch5_PartyEquip,"="&amp;DraftAnimal8,Ch5_InventoryWeights)+SUMIF(Ch6_PartyEquip,"="&amp;DraftAnimal8,Ch6_InventoryWeights)+SUMIF(Ch7_PartyEquip,"="&amp;DraftAnimal8,Ch7_InventoryWeights)+SUMIF(Ch8_PartyEquip,"="&amp;DraftAnimal8,Ch8_InventoryWeights)+SUMIF(Ch9_PartyEquip,"="&amp;DraftAnimal8,Ch9_InventoryWeights)</f>
        <v>0</v>
      </c>
      <c r="R68" s="372"/>
    </row>
    <row r="69" ht="18.75" customHeight="1">
      <c r="A69" s="380"/>
      <c r="B69" s="381"/>
      <c r="C69" s="314"/>
      <c r="D69" s="389"/>
      <c r="E69" s="382" t="str">
        <f t="shared" si="1"/>
        <v/>
      </c>
      <c r="F69" s="392"/>
      <c r="G69" s="383"/>
      <c r="H69" s="384"/>
      <c r="M69" s="385"/>
      <c r="N69" s="346">
        <f>IFERROR(VLOOKUP(G69,PartyStorage,2, FALSE),0)</f>
        <v>0</v>
      </c>
      <c r="O69" s="348" t="str">
        <f>IF(ISBLANK(Draft9Size),"",VLOOKUP(Draft9Size,SizeMultipliers,2, FALSE))</f>
        <v/>
      </c>
      <c r="P69" s="348" t="b">
        <f>IF( GT( COUNTIF( Animal_Hitch_Status, DraftAnimal9 ), 0 ), true, false)</f>
        <v>0</v>
      </c>
      <c r="R69" s="330"/>
    </row>
    <row r="70" ht="18.75" customHeight="1">
      <c r="A70" s="380"/>
      <c r="B70" s="374"/>
      <c r="C70" s="390"/>
      <c r="D70" s="387"/>
      <c r="E70" s="375" t="str">
        <f t="shared" si="1"/>
        <v/>
      </c>
      <c r="F70" s="393"/>
      <c r="G70" s="376"/>
      <c r="H70" s="399"/>
      <c r="M70" s="378"/>
      <c r="N70" s="346">
        <f>IFERROR(VLOOKUP(G70,PartyStorage,2, FALSE),0)</f>
        <v>0</v>
      </c>
      <c r="O70" s="290" t="str">
        <f>IF(ISBLANK(DraftAnimal9),"Draft Animal 9",DraftAnimal9)&amp;"'s Encumbrance"</f>
        <v>Draft Animal 9's Encumbrance</v>
      </c>
      <c r="P70" s="300"/>
      <c r="Q70" s="301"/>
      <c r="R70" s="394" t="str">
        <f>DraftAnimal9</f>
        <v/>
      </c>
    </row>
    <row r="71" ht="18.75" customHeight="1">
      <c r="A71" s="380"/>
      <c r="B71" s="381"/>
      <c r="C71" s="410"/>
      <c r="D71" s="382"/>
      <c r="E71" s="382" t="str">
        <f t="shared" si="1"/>
        <v/>
      </c>
      <c r="F71" s="316"/>
      <c r="G71" s="383"/>
      <c r="H71" s="391"/>
      <c r="M71" s="385"/>
      <c r="N71" s="346">
        <f>IFERROR(VLOOKUP(G71,PartyStorage,2, FALSE),0)</f>
        <v>0</v>
      </c>
      <c r="O71" s="352" t="s">
        <v>53</v>
      </c>
      <c r="P71" s="353"/>
      <c r="Q71" s="354">
        <f>Draft9Str*Draft9SizeMult*5</f>
        <v>0</v>
      </c>
      <c r="R71" s="355"/>
    </row>
    <row r="72" ht="18.75" customHeight="1">
      <c r="A72" s="380"/>
      <c r="B72" s="374"/>
      <c r="C72" s="390"/>
      <c r="D72" s="387"/>
      <c r="E72" s="375" t="str">
        <f t="shared" si="1"/>
        <v/>
      </c>
      <c r="F72" s="331"/>
      <c r="G72" s="376"/>
      <c r="H72" s="386"/>
      <c r="M72" s="378"/>
      <c r="N72" s="346">
        <f>IFERROR(VLOOKUP(G72,PartyStorage,2, FALSE),0)</f>
        <v>0</v>
      </c>
      <c r="O72" s="356" t="s">
        <v>55</v>
      </c>
      <c r="P72" s="357"/>
      <c r="Q72" s="358">
        <f>Draft9Str*Draft9SizeMult*10</f>
        <v>0</v>
      </c>
      <c r="R72" s="355"/>
    </row>
    <row r="73" ht="18.75" customHeight="1">
      <c r="A73" s="380"/>
      <c r="B73" s="381"/>
      <c r="C73" s="410"/>
      <c r="D73" s="389"/>
      <c r="E73" s="382" t="str">
        <f t="shared" si="1"/>
        <v/>
      </c>
      <c r="F73" s="316"/>
      <c r="G73" s="383"/>
      <c r="H73" s="391"/>
      <c r="M73" s="385"/>
      <c r="N73" s="346">
        <f>IFERROR(VLOOKUP(G73,PartyStorage,2, FALSE),0)</f>
        <v>0</v>
      </c>
      <c r="O73" s="352" t="s">
        <v>17</v>
      </c>
      <c r="P73" s="353"/>
      <c r="Q73" s="354">
        <f>Draft9Str*Draft9SizeMult*15</f>
        <v>0</v>
      </c>
      <c r="R73" s="355"/>
    </row>
    <row r="74" ht="18.75" customHeight="1">
      <c r="A74" s="380"/>
      <c r="B74" s="374"/>
      <c r="C74" s="325"/>
      <c r="D74" s="387"/>
      <c r="E74" s="375" t="str">
        <f t="shared" si="1"/>
        <v/>
      </c>
      <c r="F74" s="393"/>
      <c r="G74" s="376"/>
      <c r="H74" s="386"/>
      <c r="M74" s="378"/>
      <c r="N74" s="346">
        <f>IFERROR(VLOOKUP(G74,PartyStorage,2, FALSE),0)</f>
        <v>0</v>
      </c>
      <c r="O74" s="356" t="s">
        <v>57</v>
      </c>
      <c r="P74" s="357"/>
      <c r="Q74" s="358">
        <f>Draft9Str*Draft9SizeMult*30</f>
        <v>0</v>
      </c>
      <c r="R74" s="355"/>
    </row>
    <row r="75" ht="18.75" customHeight="1">
      <c r="A75" s="380"/>
      <c r="B75" s="381"/>
      <c r="C75" s="314"/>
      <c r="D75" s="389"/>
      <c r="E75" s="382" t="str">
        <f t="shared" si="1"/>
        <v/>
      </c>
      <c r="F75" s="314"/>
      <c r="G75" s="383"/>
      <c r="H75" s="384"/>
      <c r="M75" s="385"/>
      <c r="N75" s="346">
        <f>IFERROR(VLOOKUP(G75,PartyStorage,2, FALSE),0)</f>
        <v>0</v>
      </c>
      <c r="O75" s="369" t="s">
        <v>43</v>
      </c>
      <c r="P75" s="388"/>
      <c r="Q75" s="371">
        <f t="array" ref="Q75">SUMIF(PartyEquipStatus,"="&amp;DraftAnimal9,PartyInventoryWeights)+SUMIF(Ch1_PartyEquip,"="&amp;DraftAnimal9,Ch1_InventoryWeights)+SUMIF(Ch2_PartyEquip,"="&amp;DraftAnimal9,Ch2_InventoryWeights)++SUMIF(Ch3_PartyEquip,"="&amp;DraftAnimal9,Ch3_InventoryWeights)++SUMIF(Ch4_PartyEquip,"="&amp;DraftAnimal9,Ch4_InventoryWeights)++SUMIF(Ch5_PartyEquip,"="&amp;DraftAnimal9,Ch5_InventoryWeights)+SUMIF(Ch6_PartyEquip,"="&amp;DraftAnimal9,Ch6_InventoryWeights)+SUMIF(Ch7_PartyEquip,"="&amp;DraftAnimal9,Ch7_InventoryWeights)+SUMIF(Ch8_PartyEquip,"="&amp;DraftAnimal9,Ch8_InventoryWeights)+SUMIF(Ch9_PartyEquip,"="&amp;DraftAnimal9,Ch9_InventoryWeights)</f>
        <v>0</v>
      </c>
      <c r="R75" s="372"/>
    </row>
    <row r="76" ht="18.75" customHeight="1">
      <c r="A76" s="380"/>
      <c r="B76" s="374"/>
      <c r="C76" s="325"/>
      <c r="D76" s="375"/>
      <c r="E76" s="375" t="str">
        <f t="shared" si="1"/>
        <v/>
      </c>
      <c r="F76" s="393"/>
      <c r="G76" s="376"/>
      <c r="H76" s="386"/>
      <c r="M76" s="378"/>
      <c r="N76" s="346">
        <f>IFERROR(VLOOKUP(G76,PartyStorage,2, FALSE),0)</f>
        <v>0</v>
      </c>
      <c r="O76" s="348" t="str">
        <f>IF(ISBLANK(Draft10Size),"",VLOOKUP(Draft10Size,SizeMultipliers,2, FALSE))</f>
        <v/>
      </c>
      <c r="P76" s="348" t="b">
        <f>IF( GT( COUNTIF( Animal_Hitch_Status, DraftAnimal10 ), 0 ), true, false)</f>
        <v>0</v>
      </c>
      <c r="R76" s="330"/>
    </row>
    <row r="77" ht="18.75" customHeight="1">
      <c r="A77" s="380"/>
      <c r="B77" s="381"/>
      <c r="C77" s="410"/>
      <c r="D77" s="382"/>
      <c r="E77" s="382" t="str">
        <f t="shared" si="1"/>
        <v/>
      </c>
      <c r="F77" s="316"/>
      <c r="G77" s="383"/>
      <c r="H77" s="391"/>
      <c r="M77" s="385"/>
      <c r="N77" s="346">
        <f>IFERROR(VLOOKUP(G77,PartyStorage,2, FALSE),0)</f>
        <v>0</v>
      </c>
      <c r="O77" s="290" t="str">
        <f>IF(ISBLANK(DraftAnimal10),"Draft Animal 10",DraftAnimal10)&amp;"'s Encumbrance"</f>
        <v>Draft Animal 10's Encumbrance</v>
      </c>
      <c r="P77" s="300"/>
      <c r="Q77" s="301"/>
      <c r="R77" s="350" t="str">
        <f>DraftAnimal10</f>
        <v/>
      </c>
    </row>
    <row r="78" ht="18.75" customHeight="1">
      <c r="A78" s="380"/>
      <c r="B78" s="411"/>
      <c r="C78" s="412"/>
      <c r="D78" s="387"/>
      <c r="E78" s="375" t="str">
        <f t="shared" si="1"/>
        <v/>
      </c>
      <c r="F78" s="331"/>
      <c r="G78" s="376"/>
      <c r="H78" s="386"/>
      <c r="M78" s="378"/>
      <c r="N78" s="346">
        <f>IFERROR(VLOOKUP(G78,PartyStorage,2, FALSE),0)</f>
        <v>0</v>
      </c>
      <c r="O78" s="352" t="s">
        <v>53</v>
      </c>
      <c r="P78" s="353"/>
      <c r="Q78" s="354">
        <f>Draft10Str*Draft10SizeMult*5</f>
        <v>0</v>
      </c>
      <c r="R78" s="355"/>
    </row>
    <row r="79" ht="18.75" customHeight="1">
      <c r="A79" s="380"/>
      <c r="B79" s="381"/>
      <c r="C79" s="410"/>
      <c r="D79" s="389"/>
      <c r="E79" s="382" t="str">
        <f t="shared" si="1"/>
        <v/>
      </c>
      <c r="F79" s="316"/>
      <c r="G79" s="383"/>
      <c r="H79" s="384"/>
      <c r="M79" s="385"/>
      <c r="N79" s="346">
        <f>IFERROR(VLOOKUP(G79,PartyStorage,2, FALSE),0)</f>
        <v>0</v>
      </c>
      <c r="O79" s="356" t="s">
        <v>55</v>
      </c>
      <c r="P79" s="357"/>
      <c r="Q79" s="358">
        <f>Draft10Str*Draft10SizeMult*10</f>
        <v>0</v>
      </c>
      <c r="R79" s="355"/>
    </row>
    <row r="80" ht="18.75" customHeight="1">
      <c r="A80" s="380"/>
      <c r="B80" s="374"/>
      <c r="C80" s="401"/>
      <c r="D80" s="387"/>
      <c r="E80" s="375" t="str">
        <f t="shared" si="1"/>
        <v/>
      </c>
      <c r="F80" s="331"/>
      <c r="G80" s="376"/>
      <c r="H80" s="386"/>
      <c r="M80" s="378"/>
      <c r="N80" s="346">
        <f>IFERROR(VLOOKUP(G80,PartyStorage,2, FALSE),0)</f>
        <v>0</v>
      </c>
      <c r="O80" s="352" t="s">
        <v>17</v>
      </c>
      <c r="P80" s="353"/>
      <c r="Q80" s="354">
        <f>Draft10Str*Draft10SizeMult*15</f>
        <v>0</v>
      </c>
      <c r="R80" s="355"/>
    </row>
    <row r="81" ht="18.75" customHeight="1">
      <c r="A81" s="380"/>
      <c r="B81" s="402"/>
      <c r="C81" s="403"/>
      <c r="D81" s="413"/>
      <c r="E81" s="382" t="str">
        <f t="shared" si="1"/>
        <v/>
      </c>
      <c r="F81" s="414"/>
      <c r="G81" s="415"/>
      <c r="H81" s="416"/>
      <c r="M81" s="385"/>
      <c r="N81" s="346">
        <f>IFERROR(VLOOKUP(G81,PartyStorage,2, FALSE),0)</f>
        <v>0</v>
      </c>
      <c r="O81" s="356" t="s">
        <v>57</v>
      </c>
      <c r="P81" s="357"/>
      <c r="Q81" s="358">
        <f>Draft10Str*Draft10SizeMult*30</f>
        <v>0</v>
      </c>
      <c r="R81" s="355"/>
    </row>
    <row r="82" ht="18.75" customHeight="1">
      <c r="A82" s="380"/>
      <c r="B82" s="405"/>
      <c r="C82" s="417"/>
      <c r="D82" s="407"/>
      <c r="E82" s="375" t="str">
        <f t="shared" si="1"/>
        <v/>
      </c>
      <c r="F82" s="331"/>
      <c r="G82" s="376"/>
      <c r="H82" s="386"/>
      <c r="M82" s="378"/>
      <c r="N82" s="346">
        <f>IFERROR(VLOOKUP(G82,PartyStorage,2, FALSE),0)</f>
        <v>0</v>
      </c>
      <c r="O82" s="369" t="s">
        <v>43</v>
      </c>
      <c r="P82" s="388"/>
      <c r="Q82" s="371">
        <f t="array" ref="Q82">SUMIF(PartyEquipStatus,"="&amp;DraftAnimal10,PartyInventoryWeights)+SUMIF(Ch1_PartyEquip,"="&amp;DraftAnimal10,Ch1_InventoryWeights)+SUMIF(Ch2_PartyEquip,"="&amp;DraftAnimal10,Ch2_InventoryWeights)++SUMIF(Ch3_PartyEquip,"="&amp;DraftAnimal10,Ch3_InventoryWeights)++SUMIF(Ch4_PartyEquip,"="&amp;DraftAnimal10,Ch4_InventoryWeights)++SUMIF(Ch5_PartyEquip,"="&amp;DraftAnimal10,Ch5_InventoryWeights)+SUMIF(Ch6_PartyEquip,"="&amp;DraftAnimal10,Ch6_InventoryWeights)+SUMIF(Ch7_PartyEquip,"="&amp;DraftAnimal10,Ch7_InventoryWeights)+SUMIF(Ch8_PartyEquip,"="&amp;DraftAnimal10,Ch8_InventoryWeights)+SUMIF(Ch9_PartyEquip,"="&amp;DraftAnimal10,Ch9_InventoryWeights)</f>
        <v>0</v>
      </c>
      <c r="R82" s="372"/>
    </row>
    <row r="83" ht="18.75" customHeight="1">
      <c r="A83" s="380"/>
      <c r="B83" s="381"/>
      <c r="C83" s="418"/>
      <c r="D83" s="382"/>
      <c r="E83" s="382" t="str">
        <f t="shared" si="1"/>
        <v/>
      </c>
      <c r="F83" s="314"/>
      <c r="G83" s="383"/>
      <c r="H83" s="419"/>
      <c r="M83" s="385"/>
      <c r="N83" s="346">
        <f>IFERROR(VLOOKUP(G83,PartyStorage,2, FALSE),0)</f>
        <v>0</v>
      </c>
      <c r="O83" s="348" t="str">
        <f>IF(ISBLANK(Draft11Size),"",VLOOKUP(Draft11Size,SizeMultipliers,2, FALSE))</f>
        <v/>
      </c>
      <c r="P83" s="348" t="b">
        <f>IF( GT( COUNTIF( Animal_Hitch_Status, DraftAnimal11 ), 0 ), true, false)</f>
        <v>0</v>
      </c>
      <c r="Q83" s="114"/>
      <c r="R83" s="330"/>
    </row>
    <row r="84" ht="18.75" customHeight="1">
      <c r="A84" s="380"/>
      <c r="B84" s="420"/>
      <c r="C84" s="324"/>
      <c r="D84" s="387"/>
      <c r="E84" s="375" t="str">
        <f t="shared" si="1"/>
        <v/>
      </c>
      <c r="F84" s="331"/>
      <c r="G84" s="376"/>
      <c r="H84" s="377"/>
      <c r="M84" s="378"/>
      <c r="N84" s="346">
        <f>IFERROR(VLOOKUP(G84,PartyStorage,2, FALSE),0)</f>
        <v>0</v>
      </c>
      <c r="O84" s="290" t="str">
        <f>IF(ISBLANK(DraftAnimal11),"Draft Animal 11",DraftAnimal11)&amp;"'s Encumbrance"</f>
        <v>Draft Animal 11's Encumbrance</v>
      </c>
      <c r="P84" s="300"/>
      <c r="Q84" s="301"/>
      <c r="R84" s="350" t="str">
        <f>DraftAnimal11</f>
        <v/>
      </c>
    </row>
    <row r="85" ht="18.75" customHeight="1">
      <c r="A85" s="380"/>
      <c r="B85" s="421"/>
      <c r="C85" s="312"/>
      <c r="D85" s="389"/>
      <c r="E85" s="382" t="str">
        <f t="shared" si="1"/>
        <v/>
      </c>
      <c r="F85" s="316"/>
      <c r="G85" s="383"/>
      <c r="H85" s="384"/>
      <c r="M85" s="385"/>
      <c r="N85" s="346">
        <f>IFERROR(VLOOKUP(G85,PartyStorage,2, FALSE),0)</f>
        <v>0</v>
      </c>
      <c r="O85" s="352" t="s">
        <v>53</v>
      </c>
      <c r="P85" s="353"/>
      <c r="Q85" s="354">
        <f>Draft11Str*Draft11SizeMult*5</f>
        <v>0</v>
      </c>
      <c r="R85" s="355"/>
    </row>
    <row r="86" ht="18.75" customHeight="1">
      <c r="A86" s="380"/>
      <c r="B86" s="374"/>
      <c r="C86" s="390"/>
      <c r="D86" s="387"/>
      <c r="E86" s="375" t="str">
        <f t="shared" si="1"/>
        <v/>
      </c>
      <c r="F86" s="331"/>
      <c r="G86" s="376"/>
      <c r="H86" s="377"/>
      <c r="M86" s="378"/>
      <c r="N86" s="346">
        <f>IFERROR(VLOOKUP(G86,PartyStorage,2, FALSE),0)</f>
        <v>0</v>
      </c>
      <c r="O86" s="356" t="s">
        <v>55</v>
      </c>
      <c r="P86" s="357"/>
      <c r="Q86" s="358">
        <f>Draft11Str*Draft11SizeMult*10</f>
        <v>0</v>
      </c>
      <c r="R86" s="355"/>
    </row>
    <row r="87" ht="18.75" customHeight="1">
      <c r="A87" s="380"/>
      <c r="B87" s="381"/>
      <c r="C87" s="314"/>
      <c r="D87" s="389"/>
      <c r="E87" s="382" t="str">
        <f t="shared" si="1"/>
        <v/>
      </c>
      <c r="F87" s="314"/>
      <c r="G87" s="383"/>
      <c r="H87" s="384"/>
      <c r="M87" s="385"/>
      <c r="N87" s="346">
        <f>IFERROR(VLOOKUP(G87,PartyStorage,2, FALSE),0)</f>
        <v>0</v>
      </c>
      <c r="O87" s="352" t="s">
        <v>17</v>
      </c>
      <c r="P87" s="353"/>
      <c r="Q87" s="354">
        <f>Draft11Str*Draft11SizeMult*15</f>
        <v>0</v>
      </c>
      <c r="R87" s="355"/>
    </row>
    <row r="88" ht="18.75" customHeight="1">
      <c r="A88" s="380"/>
      <c r="B88" s="397"/>
      <c r="C88" s="331"/>
      <c r="D88" s="387"/>
      <c r="E88" s="375" t="str">
        <f t="shared" si="1"/>
        <v/>
      </c>
      <c r="F88" s="331"/>
      <c r="G88" s="422"/>
      <c r="H88" s="377"/>
      <c r="M88" s="378"/>
      <c r="N88" s="346">
        <f>IFERROR(VLOOKUP(G88,PartyStorage,2, FALSE),0)</f>
        <v>0</v>
      </c>
      <c r="O88" s="356" t="s">
        <v>57</v>
      </c>
      <c r="P88" s="357"/>
      <c r="Q88" s="358">
        <f>Draft11Str*Draft11SizeMult*30</f>
        <v>0</v>
      </c>
      <c r="R88" s="355"/>
    </row>
    <row r="89" ht="18.75" customHeight="1">
      <c r="A89" s="380"/>
      <c r="B89" s="396"/>
      <c r="C89" s="316"/>
      <c r="D89" s="389"/>
      <c r="E89" s="382" t="str">
        <f t="shared" si="1"/>
        <v/>
      </c>
      <c r="F89" s="316"/>
      <c r="G89" s="423"/>
      <c r="H89" s="384"/>
      <c r="M89" s="385"/>
      <c r="N89" s="346">
        <f>IFERROR(VLOOKUP(G89,PartyStorage,2, FALSE),0)</f>
        <v>0</v>
      </c>
      <c r="O89" s="369" t="s">
        <v>43</v>
      </c>
      <c r="P89" s="388"/>
      <c r="Q89" s="371">
        <f t="array" ref="Q89">SUMIF(PartyEquipStatus,"="&amp;DraftAnimal11,PartyInventoryWeights)+SUMIF(Ch1_PartyEquip,"="&amp;DraftAnimal11,Ch1_InventoryWeights)+SUMIF(Ch2_PartyEquip,"="&amp;DraftAnimal11,Ch2_InventoryWeights)++SUMIF(Ch3_PartyEquip,"="&amp;DraftAnimal11,Ch3_InventoryWeights)++SUMIF(Ch4_PartyEquip,"="&amp;DraftAnimal11,Ch4_InventoryWeights)++SUMIF(Ch5_PartyEquip,"="&amp;DraftAnimal11,Ch5_InventoryWeights)+SUMIF(Ch6_PartyEquip,"="&amp;DraftAnimal11,Ch6_InventoryWeights)+SUMIF(Ch7_PartyEquip,"="&amp;DraftAnimal11,Ch7_InventoryWeights)+SUMIF(Ch8_PartyEquip,"="&amp;DraftAnimal11,Ch8_InventoryWeights)+SUMIF(Ch9_PartyEquip,"="&amp;DraftAnimal11,Ch9_InventoryWeights)</f>
        <v>0</v>
      </c>
      <c r="R89" s="372"/>
    </row>
    <row r="90" ht="18.75" customHeight="1">
      <c r="A90" s="380"/>
      <c r="B90" s="397"/>
      <c r="C90" s="331"/>
      <c r="D90" s="387"/>
      <c r="E90" s="375" t="str">
        <f t="shared" si="1"/>
        <v/>
      </c>
      <c r="F90" s="331"/>
      <c r="G90" s="422"/>
      <c r="H90" s="377"/>
      <c r="M90" s="378"/>
      <c r="N90" s="346">
        <f>IFERROR(VLOOKUP(G90,PartyStorage,2, FALSE),0)</f>
        <v>0</v>
      </c>
      <c r="O90" s="348" t="str">
        <f>IF(ISBLANK(Draft12Size),"",VLOOKUP(Draft12Size,SizeMultipliers,2, FALSE))</f>
        <v/>
      </c>
      <c r="P90" s="348" t="b">
        <f>IF( GT( COUNTIF( Animal_Hitch_Status, DraftAnimal12 ), 0 ), true, false)</f>
        <v>0</v>
      </c>
      <c r="R90" s="330"/>
    </row>
    <row r="91" ht="18.75" customHeight="1">
      <c r="A91" s="380"/>
      <c r="B91" s="396"/>
      <c r="C91" s="316"/>
      <c r="D91" s="389"/>
      <c r="E91" s="382" t="str">
        <f t="shared" si="1"/>
        <v/>
      </c>
      <c r="F91" s="316"/>
      <c r="G91" s="423"/>
      <c r="H91" s="384"/>
      <c r="M91" s="385"/>
      <c r="N91" s="346">
        <f>IFERROR(VLOOKUP(G91,PartyStorage,2, FALSE),0)</f>
        <v>0</v>
      </c>
      <c r="O91" s="290" t="str">
        <f>IF(ISBLANK(DraftAnimal12),"Draft Animal 12",DraftAnimal12)&amp;"'s Encumbrance"</f>
        <v>Draft Animal 12's Encumbrance</v>
      </c>
      <c r="P91" s="300"/>
      <c r="Q91" s="301"/>
      <c r="R91" s="394" t="str">
        <f>DraftAnimal12</f>
        <v/>
      </c>
    </row>
    <row r="92" ht="18.75" customHeight="1">
      <c r="A92" s="380"/>
      <c r="B92" s="397"/>
      <c r="C92" s="331"/>
      <c r="D92" s="387"/>
      <c r="E92" s="375" t="str">
        <f t="shared" si="1"/>
        <v/>
      </c>
      <c r="F92" s="331"/>
      <c r="G92" s="422"/>
      <c r="H92" s="377"/>
      <c r="M92" s="378"/>
      <c r="N92" s="346">
        <f>IFERROR(VLOOKUP(G92,PartyStorage,2, FALSE),0)</f>
        <v>0</v>
      </c>
      <c r="O92" s="352" t="s">
        <v>53</v>
      </c>
      <c r="P92" s="353"/>
      <c r="Q92" s="354">
        <f>Draft12Str*Draft12SizeMult*5</f>
        <v>0</v>
      </c>
      <c r="R92" s="355"/>
    </row>
    <row r="93" ht="18.75" customHeight="1">
      <c r="A93" s="380"/>
      <c r="B93" s="396"/>
      <c r="C93" s="316"/>
      <c r="D93" s="389"/>
      <c r="E93" s="382" t="str">
        <f t="shared" si="1"/>
        <v/>
      </c>
      <c r="F93" s="316"/>
      <c r="G93" s="423"/>
      <c r="H93" s="384"/>
      <c r="M93" s="385"/>
      <c r="N93" s="346">
        <f>IFERROR(VLOOKUP(G93,PartyStorage,2, FALSE),0)</f>
        <v>0</v>
      </c>
      <c r="O93" s="356" t="s">
        <v>55</v>
      </c>
      <c r="P93" s="357"/>
      <c r="Q93" s="358">
        <f>Draft12Str*Draft12SizeMult*10</f>
        <v>0</v>
      </c>
      <c r="R93" s="355"/>
    </row>
    <row r="94" ht="18.75" customHeight="1">
      <c r="A94" s="380"/>
      <c r="B94" s="397"/>
      <c r="C94" s="331"/>
      <c r="D94" s="387"/>
      <c r="E94" s="375" t="str">
        <f t="shared" si="1"/>
        <v/>
      </c>
      <c r="F94" s="331"/>
      <c r="G94" s="422"/>
      <c r="H94" s="377"/>
      <c r="M94" s="378"/>
      <c r="N94" s="346">
        <f>IFERROR(VLOOKUP(G94,PartyStorage,2, FALSE),0)</f>
        <v>0</v>
      </c>
      <c r="O94" s="352" t="s">
        <v>17</v>
      </c>
      <c r="P94" s="353"/>
      <c r="Q94" s="354">
        <f>Draft12Str*Draft12SizeMult*15</f>
        <v>0</v>
      </c>
      <c r="R94" s="355"/>
    </row>
    <row r="95" ht="18.75" customHeight="1">
      <c r="A95" s="380"/>
      <c r="B95" s="396"/>
      <c r="C95" s="316"/>
      <c r="D95" s="389"/>
      <c r="E95" s="382" t="str">
        <f t="shared" si="1"/>
        <v/>
      </c>
      <c r="F95" s="316"/>
      <c r="G95" s="423"/>
      <c r="H95" s="384"/>
      <c r="M95" s="385"/>
      <c r="N95" s="346">
        <f>IFERROR(VLOOKUP(G95,PartyStorage,2, FALSE),0)</f>
        <v>0</v>
      </c>
      <c r="O95" s="356" t="s">
        <v>57</v>
      </c>
      <c r="P95" s="357"/>
      <c r="Q95" s="358">
        <f>Draft12Str*Draft12SizeMult*30</f>
        <v>0</v>
      </c>
      <c r="R95" s="355"/>
    </row>
    <row r="96" ht="18.75" customHeight="1">
      <c r="A96" s="380"/>
      <c r="B96" s="397"/>
      <c r="C96" s="331"/>
      <c r="D96" s="387"/>
      <c r="E96" s="375" t="str">
        <f t="shared" si="1"/>
        <v/>
      </c>
      <c r="F96" s="331"/>
      <c r="G96" s="422"/>
      <c r="H96" s="377"/>
      <c r="M96" s="378"/>
      <c r="N96" s="346">
        <f>IFERROR(VLOOKUP(G96,PartyStorage,2, FALSE),0)</f>
        <v>0</v>
      </c>
      <c r="O96" s="369" t="s">
        <v>43</v>
      </c>
      <c r="P96" s="388"/>
      <c r="Q96" s="371">
        <f t="array" ref="Q96">SUMIF(PartyEquipStatus,"="&amp;DraftAnimal12,PartyInventoryWeights)+SUMIF(Ch1_PartyEquip,"="&amp;DraftAnimal12,Ch1_InventoryWeights)+SUMIF(Ch2_PartyEquip,"="&amp;DraftAnimal12,Ch2_InventoryWeights)++SUMIF(Ch3_PartyEquip,"="&amp;DraftAnimal12,Ch3_InventoryWeights)++SUMIF(Ch4_PartyEquip,"="&amp;DraftAnimal12,Ch4_InventoryWeights)++SUMIF(Ch5_PartyEquip,"="&amp;DraftAnimal12,Ch5_InventoryWeights)+SUMIF(Ch6_PartyEquip,"="&amp;DraftAnimal12,Ch6_InventoryWeights)+SUMIF(Ch7_PartyEquip,"="&amp;DraftAnimal12,Ch7_InventoryWeights)+SUMIF(Ch8_PartyEquip,"="&amp;DraftAnimal12,Ch8_InventoryWeights)+SUMIF(Ch9_PartyEquip,"="&amp;DraftAnimal12,Ch9_InventoryWeights)</f>
        <v>0</v>
      </c>
      <c r="R96" s="372"/>
    </row>
    <row r="97" ht="18.75" customHeight="1">
      <c r="A97" s="380"/>
      <c r="B97" s="396"/>
      <c r="C97" s="316"/>
      <c r="D97" s="389"/>
      <c r="E97" s="382" t="str">
        <f t="shared" si="1"/>
        <v/>
      </c>
      <c r="F97" s="316"/>
      <c r="G97" s="423"/>
      <c r="H97" s="384"/>
      <c r="M97" s="385"/>
      <c r="N97" s="346">
        <f>IFERROR(VLOOKUP(G97,PartyStorage,2, FALSE),0)</f>
        <v>0</v>
      </c>
      <c r="O97" s="424"/>
      <c r="P97" s="425"/>
      <c r="Q97" s="425"/>
      <c r="R97" s="330"/>
    </row>
    <row r="98" ht="18.75" customHeight="1">
      <c r="A98" s="380"/>
      <c r="B98" s="397"/>
      <c r="C98" s="331"/>
      <c r="D98" s="387"/>
      <c r="E98" s="375" t="str">
        <f t="shared" si="1"/>
        <v/>
      </c>
      <c r="F98" s="331"/>
      <c r="G98" s="422"/>
      <c r="H98" s="377"/>
      <c r="M98" s="378"/>
      <c r="N98" s="346">
        <f>IFERROR(VLOOKUP(G98,PartyStorage,2, FALSE),0)</f>
        <v>0</v>
      </c>
      <c r="O98" s="329"/>
      <c r="R98" s="330"/>
    </row>
    <row r="99" ht="18.75" customHeight="1">
      <c r="A99" s="380"/>
      <c r="B99" s="396"/>
      <c r="C99" s="316"/>
      <c r="D99" s="389"/>
      <c r="E99" s="382" t="str">
        <f t="shared" si="1"/>
        <v/>
      </c>
      <c r="F99" s="316"/>
      <c r="G99" s="423"/>
      <c r="H99" s="384"/>
      <c r="M99" s="385"/>
      <c r="N99" s="346">
        <f>IFERROR(VLOOKUP(G99,PartyStorage,2, FALSE),0)</f>
        <v>0</v>
      </c>
      <c r="R99" s="330"/>
    </row>
    <row r="100" ht="18.75" customHeight="1">
      <c r="A100" s="380"/>
      <c r="B100" s="397"/>
      <c r="C100" s="331"/>
      <c r="D100" s="387"/>
      <c r="E100" s="375" t="str">
        <f t="shared" si="1"/>
        <v/>
      </c>
      <c r="F100" s="331"/>
      <c r="G100" s="422"/>
      <c r="H100" s="377"/>
      <c r="M100" s="378"/>
      <c r="N100" s="346">
        <f>IFERROR(VLOOKUP(G100,PartyStorage,2, FALSE),0)</f>
        <v>0</v>
      </c>
      <c r="R100" s="330"/>
    </row>
    <row r="101" ht="18.75" customHeight="1">
      <c r="A101" s="380"/>
      <c r="B101" s="396"/>
      <c r="C101" s="316"/>
      <c r="D101" s="389"/>
      <c r="E101" s="382" t="str">
        <f t="shared" si="1"/>
        <v/>
      </c>
      <c r="F101" s="316"/>
      <c r="G101" s="423"/>
      <c r="H101" s="384"/>
      <c r="M101" s="385"/>
      <c r="N101" s="346">
        <f>IFERROR(VLOOKUP(G101,PartyStorage,2, FALSE),0)</f>
        <v>0</v>
      </c>
      <c r="R101" s="330"/>
    </row>
    <row r="102" ht="18.75" customHeight="1">
      <c r="A102" s="380"/>
      <c r="B102" s="397"/>
      <c r="C102" s="331"/>
      <c r="D102" s="387"/>
      <c r="E102" s="375" t="str">
        <f t="shared" si="1"/>
        <v/>
      </c>
      <c r="F102" s="331"/>
      <c r="G102" s="422"/>
      <c r="H102" s="377"/>
      <c r="M102" s="378"/>
      <c r="N102" s="346">
        <f>IFERROR(VLOOKUP(G102,PartyStorage,2, FALSE),0)</f>
        <v>0</v>
      </c>
      <c r="R102" s="330"/>
    </row>
    <row r="103" ht="18.75" customHeight="1">
      <c r="A103" s="380"/>
      <c r="B103" s="396"/>
      <c r="C103" s="316"/>
      <c r="D103" s="389"/>
      <c r="E103" s="382" t="str">
        <f t="shared" si="1"/>
        <v/>
      </c>
      <c r="F103" s="316"/>
      <c r="G103" s="423"/>
      <c r="H103" s="384"/>
      <c r="M103" s="385"/>
      <c r="N103" s="346">
        <f>IFERROR(VLOOKUP(G103,PartyStorage,2, FALSE),0)</f>
        <v>0</v>
      </c>
      <c r="R103" s="330"/>
    </row>
    <row r="104" ht="18.75" customHeight="1">
      <c r="A104" s="380"/>
      <c r="B104" s="397"/>
      <c r="C104" s="331"/>
      <c r="D104" s="387"/>
      <c r="E104" s="375" t="str">
        <f t="shared" si="1"/>
        <v/>
      </c>
      <c r="F104" s="331"/>
      <c r="G104" s="422"/>
      <c r="H104" s="377"/>
      <c r="M104" s="378"/>
      <c r="N104" s="346">
        <f>IFERROR(VLOOKUP(G104,PartyStorage,2, FALSE),0)</f>
        <v>0</v>
      </c>
      <c r="R104" s="330"/>
    </row>
    <row r="105" ht="18.75" customHeight="1">
      <c r="A105" s="380"/>
      <c r="B105" s="396"/>
      <c r="C105" s="316"/>
      <c r="D105" s="389"/>
      <c r="E105" s="382" t="str">
        <f t="shared" si="1"/>
        <v/>
      </c>
      <c r="F105" s="316"/>
      <c r="G105" s="423"/>
      <c r="H105" s="384"/>
      <c r="M105" s="385"/>
      <c r="N105" s="346">
        <f>IFERROR(VLOOKUP(G105,PartyStorage,2, FALSE),0)</f>
        <v>0</v>
      </c>
      <c r="R105" s="330"/>
    </row>
    <row r="106" ht="18.75" customHeight="1">
      <c r="A106" s="380"/>
      <c r="B106" s="397"/>
      <c r="C106" s="331"/>
      <c r="D106" s="387"/>
      <c r="E106" s="375" t="str">
        <f t="shared" si="1"/>
        <v/>
      </c>
      <c r="F106" s="331"/>
      <c r="G106" s="422"/>
      <c r="H106" s="377"/>
      <c r="M106" s="378"/>
      <c r="N106" s="346">
        <f>IFERROR(VLOOKUP(G106,PartyStorage,2, FALSE),0)</f>
        <v>0</v>
      </c>
      <c r="R106" s="330"/>
    </row>
    <row r="107" ht="18.75" customHeight="1">
      <c r="A107" s="380"/>
      <c r="B107" s="396"/>
      <c r="C107" s="316"/>
      <c r="D107" s="389"/>
      <c r="E107" s="382" t="str">
        <f t="shared" si="1"/>
        <v/>
      </c>
      <c r="F107" s="316"/>
      <c r="G107" s="423"/>
      <c r="H107" s="384"/>
      <c r="M107" s="385"/>
      <c r="N107" s="346">
        <f>IFERROR(VLOOKUP(G107,PartyStorage,2, FALSE),0)</f>
        <v>0</v>
      </c>
      <c r="R107" s="330"/>
    </row>
    <row r="108" ht="18.75" customHeight="1">
      <c r="A108" s="380"/>
      <c r="B108" s="397"/>
      <c r="C108" s="331"/>
      <c r="D108" s="387"/>
      <c r="E108" s="375" t="str">
        <f t="shared" si="1"/>
        <v/>
      </c>
      <c r="F108" s="331"/>
      <c r="G108" s="422"/>
      <c r="H108" s="377"/>
      <c r="M108" s="378"/>
      <c r="N108" s="346">
        <f>IFERROR(VLOOKUP(G108,PartyStorage,2, FALSE),0)</f>
        <v>0</v>
      </c>
      <c r="R108" s="330"/>
    </row>
    <row r="109" ht="18.75" customHeight="1">
      <c r="A109" s="380"/>
      <c r="B109" s="396"/>
      <c r="C109" s="316"/>
      <c r="D109" s="389"/>
      <c r="E109" s="382" t="str">
        <f t="shared" si="1"/>
        <v/>
      </c>
      <c r="F109" s="316"/>
      <c r="G109" s="423"/>
      <c r="H109" s="384"/>
      <c r="M109" s="385"/>
      <c r="N109" s="346">
        <f>IFERROR(VLOOKUP(G109,PartyStorage,2, FALSE),0)</f>
        <v>0</v>
      </c>
      <c r="R109" s="330"/>
    </row>
    <row r="110" ht="18.75" customHeight="1">
      <c r="A110" s="380"/>
      <c r="B110" s="397"/>
      <c r="C110" s="331"/>
      <c r="D110" s="387"/>
      <c r="E110" s="375" t="str">
        <f t="shared" si="1"/>
        <v/>
      </c>
      <c r="F110" s="331"/>
      <c r="G110" s="422"/>
      <c r="H110" s="377"/>
      <c r="M110" s="378"/>
      <c r="N110" s="346">
        <f>IFERROR(VLOOKUP(G110,PartyStorage,2, FALSE),0)</f>
        <v>0</v>
      </c>
      <c r="R110" s="330"/>
    </row>
    <row r="111" ht="18.75" customHeight="1">
      <c r="A111" s="380"/>
      <c r="B111" s="396"/>
      <c r="C111" s="316"/>
      <c r="D111" s="389"/>
      <c r="E111" s="382" t="str">
        <f t="shared" si="1"/>
        <v/>
      </c>
      <c r="F111" s="316"/>
      <c r="G111" s="423"/>
      <c r="H111" s="384"/>
      <c r="M111" s="385"/>
      <c r="N111" s="346">
        <f>IFERROR(VLOOKUP(G111,PartyStorage,2, FALSE),0)</f>
        <v>0</v>
      </c>
      <c r="R111" s="330"/>
    </row>
    <row r="112" ht="18.75" customHeight="1">
      <c r="A112" s="380"/>
      <c r="B112" s="397"/>
      <c r="C112" s="331"/>
      <c r="D112" s="387"/>
      <c r="E112" s="375" t="str">
        <f t="shared" si="1"/>
        <v/>
      </c>
      <c r="F112" s="331"/>
      <c r="G112" s="422"/>
      <c r="H112" s="377"/>
      <c r="M112" s="378"/>
      <c r="N112" s="346">
        <f>IFERROR(VLOOKUP(G112,PartyStorage,2, FALSE),0)</f>
        <v>0</v>
      </c>
      <c r="R112" s="330"/>
    </row>
    <row r="113" ht="18.75" customHeight="1">
      <c r="A113" s="380"/>
      <c r="B113" s="396"/>
      <c r="C113" s="316"/>
      <c r="D113" s="389"/>
      <c r="E113" s="382" t="str">
        <f t="shared" si="1"/>
        <v/>
      </c>
      <c r="F113" s="316"/>
      <c r="G113" s="423"/>
      <c r="H113" s="384"/>
      <c r="M113" s="385"/>
      <c r="N113" s="346">
        <f>IFERROR(VLOOKUP(G113,PartyStorage,2, FALSE),0)</f>
        <v>0</v>
      </c>
      <c r="R113" s="330"/>
    </row>
    <row r="114" ht="18.75" customHeight="1">
      <c r="A114" s="380"/>
      <c r="B114" s="397"/>
      <c r="C114" s="331"/>
      <c r="D114" s="387"/>
      <c r="E114" s="375" t="str">
        <f t="shared" si="1"/>
        <v/>
      </c>
      <c r="F114" s="331"/>
      <c r="G114" s="422"/>
      <c r="H114" s="377"/>
      <c r="M114" s="378"/>
      <c r="N114" s="346">
        <f>IFERROR(VLOOKUP(G114,PartyStorage,2, FALSE),0)</f>
        <v>0</v>
      </c>
      <c r="R114" s="330"/>
    </row>
    <row r="115" ht="18.75" customHeight="1">
      <c r="A115" s="380"/>
      <c r="B115" s="396"/>
      <c r="C115" s="316"/>
      <c r="D115" s="389"/>
      <c r="E115" s="382" t="str">
        <f t="shared" si="1"/>
        <v/>
      </c>
      <c r="F115" s="316"/>
      <c r="G115" s="423"/>
      <c r="H115" s="384"/>
      <c r="M115" s="385"/>
      <c r="N115" s="346">
        <f>IFERROR(VLOOKUP(G115,PartyStorage,2, FALSE),0)</f>
        <v>0</v>
      </c>
      <c r="R115" s="330"/>
    </row>
    <row r="116" ht="18.75" customHeight="1">
      <c r="A116" s="380"/>
      <c r="B116" s="397"/>
      <c r="C116" s="331"/>
      <c r="D116" s="387"/>
      <c r="E116" s="375" t="str">
        <f t="shared" si="1"/>
        <v/>
      </c>
      <c r="F116" s="331"/>
      <c r="G116" s="422"/>
      <c r="H116" s="377"/>
      <c r="M116" s="378"/>
      <c r="N116" s="346">
        <f>IFERROR(VLOOKUP(G116,PartyStorage,2, FALSE),0)</f>
        <v>0</v>
      </c>
      <c r="O116" s="426"/>
      <c r="P116" s="329"/>
      <c r="Q116" s="329"/>
      <c r="R116" s="330"/>
    </row>
    <row r="117" ht="18.75" customHeight="1">
      <c r="A117" s="380"/>
      <c r="B117" s="396"/>
      <c r="C117" s="316"/>
      <c r="D117" s="389"/>
      <c r="E117" s="382" t="str">
        <f t="shared" si="1"/>
        <v/>
      </c>
      <c r="F117" s="316"/>
      <c r="G117" s="423"/>
      <c r="H117" s="384"/>
      <c r="M117" s="385"/>
      <c r="N117" s="346">
        <f>IFERROR(VLOOKUP(G117,PartyStorage,2, FALSE),0)</f>
        <v>0</v>
      </c>
      <c r="O117" s="427"/>
      <c r="R117" s="330"/>
    </row>
    <row r="118" ht="18.75" customHeight="1">
      <c r="A118" s="380"/>
      <c r="B118" s="397"/>
      <c r="C118" s="331"/>
      <c r="D118" s="387"/>
      <c r="E118" s="375" t="str">
        <f t="shared" si="1"/>
        <v/>
      </c>
      <c r="F118" s="331"/>
      <c r="G118" s="422"/>
      <c r="H118" s="377"/>
      <c r="M118" s="378"/>
      <c r="N118" s="346">
        <f>IFERROR(VLOOKUP(G118,PartyStorage,2, FALSE),0)</f>
        <v>0</v>
      </c>
      <c r="R118" s="330"/>
    </row>
    <row r="119" ht="18.75" customHeight="1">
      <c r="A119" s="380"/>
      <c r="B119" s="396"/>
      <c r="C119" s="316"/>
      <c r="D119" s="389"/>
      <c r="E119" s="382" t="str">
        <f t="shared" si="1"/>
        <v/>
      </c>
      <c r="F119" s="316"/>
      <c r="G119" s="423"/>
      <c r="H119" s="384"/>
      <c r="M119" s="385"/>
      <c r="N119" s="346">
        <f>IFERROR(VLOOKUP(G119,PartyStorage,2, FALSE),0)</f>
        <v>0</v>
      </c>
      <c r="R119" s="330"/>
    </row>
    <row r="120" ht="18.75" customHeight="1">
      <c r="A120" s="380"/>
      <c r="B120" s="397"/>
      <c r="C120" s="331"/>
      <c r="D120" s="387"/>
      <c r="E120" s="375" t="str">
        <f t="shared" si="1"/>
        <v/>
      </c>
      <c r="F120" s="331"/>
      <c r="G120" s="422"/>
      <c r="H120" s="377"/>
      <c r="M120" s="378"/>
      <c r="N120" s="346">
        <f>IFERROR(VLOOKUP(G120,PartyStorage,2, FALSE),0)</f>
        <v>0</v>
      </c>
      <c r="R120" s="330"/>
    </row>
    <row r="121" ht="18.75" customHeight="1">
      <c r="A121" s="380"/>
      <c r="B121" s="396"/>
      <c r="C121" s="316"/>
      <c r="D121" s="389"/>
      <c r="E121" s="382" t="str">
        <f t="shared" si="1"/>
        <v/>
      </c>
      <c r="F121" s="316"/>
      <c r="G121" s="423"/>
      <c r="H121" s="384"/>
      <c r="M121" s="385"/>
      <c r="N121" s="346">
        <f>IFERROR(VLOOKUP(G121,PartyStorage,2, FALSE),0)</f>
        <v>0</v>
      </c>
      <c r="R121" s="330"/>
    </row>
    <row r="122" ht="18.75" customHeight="1">
      <c r="A122" s="380"/>
      <c r="B122" s="397"/>
      <c r="C122" s="331"/>
      <c r="D122" s="387"/>
      <c r="E122" s="375" t="str">
        <f t="shared" si="1"/>
        <v/>
      </c>
      <c r="F122" s="331"/>
      <c r="G122" s="422"/>
      <c r="H122" s="377"/>
      <c r="M122" s="378"/>
      <c r="N122" s="346">
        <f>IFERROR(VLOOKUP(G122,PartyStorage,2, FALSE),0)</f>
        <v>0</v>
      </c>
      <c r="R122" s="330"/>
    </row>
    <row r="123" ht="18.75" customHeight="1">
      <c r="A123" s="380"/>
      <c r="B123" s="396"/>
      <c r="C123" s="316"/>
      <c r="D123" s="389"/>
      <c r="E123" s="382" t="str">
        <f t="shared" si="1"/>
        <v/>
      </c>
      <c r="F123" s="316"/>
      <c r="G123" s="423"/>
      <c r="H123" s="384"/>
      <c r="M123" s="385"/>
      <c r="N123" s="346">
        <f>IFERROR(VLOOKUP(G123,PartyStorage,2, FALSE),0)</f>
        <v>0</v>
      </c>
      <c r="R123" s="330"/>
    </row>
    <row r="124" ht="18.75" customHeight="1">
      <c r="A124" s="380"/>
      <c r="B124" s="397"/>
      <c r="C124" s="331"/>
      <c r="D124" s="387"/>
      <c r="E124" s="375" t="str">
        <f t="shared" si="1"/>
        <v/>
      </c>
      <c r="F124" s="331"/>
      <c r="G124" s="422"/>
      <c r="H124" s="377"/>
      <c r="M124" s="378"/>
      <c r="N124" s="346">
        <f>IFERROR(VLOOKUP(G124,PartyStorage,2, FALSE),0)</f>
        <v>0</v>
      </c>
      <c r="R124" s="330"/>
    </row>
    <row r="125" ht="18.75" customHeight="1">
      <c r="A125" s="380"/>
      <c r="B125" s="396"/>
      <c r="C125" s="316"/>
      <c r="D125" s="389"/>
      <c r="E125" s="382" t="str">
        <f t="shared" si="1"/>
        <v/>
      </c>
      <c r="F125" s="316"/>
      <c r="G125" s="423"/>
      <c r="H125" s="384"/>
      <c r="M125" s="385"/>
      <c r="N125" s="346">
        <f>IFERROR(VLOOKUP(G125,PartyStorage,2, FALSE),0)</f>
        <v>0</v>
      </c>
      <c r="R125" s="330"/>
    </row>
    <row r="126" ht="18.75" customHeight="1">
      <c r="A126" s="380"/>
      <c r="B126" s="397"/>
      <c r="C126" s="331"/>
      <c r="D126" s="387"/>
      <c r="E126" s="375" t="str">
        <f t="shared" si="1"/>
        <v/>
      </c>
      <c r="F126" s="331"/>
      <c r="G126" s="422"/>
      <c r="H126" s="377"/>
      <c r="M126" s="378"/>
      <c r="N126" s="346">
        <f>IFERROR(VLOOKUP(G126,PartyStorage,2, FALSE),0)</f>
        <v>0</v>
      </c>
      <c r="R126" s="330"/>
    </row>
    <row r="127" ht="18.75" customHeight="1">
      <c r="A127" s="380"/>
      <c r="B127" s="396"/>
      <c r="C127" s="316"/>
      <c r="D127" s="389"/>
      <c r="E127" s="382" t="str">
        <f t="shared" si="1"/>
        <v/>
      </c>
      <c r="F127" s="316"/>
      <c r="G127" s="423"/>
      <c r="H127" s="384"/>
      <c r="M127" s="385"/>
      <c r="N127" s="346">
        <f>IFERROR(VLOOKUP(G127,PartyStorage,2, FALSE),0)</f>
        <v>0</v>
      </c>
      <c r="R127" s="330"/>
    </row>
    <row r="128" ht="18.75" customHeight="1">
      <c r="A128" s="380"/>
      <c r="B128" s="397"/>
      <c r="C128" s="331"/>
      <c r="D128" s="387"/>
      <c r="E128" s="375" t="str">
        <f t="shared" si="1"/>
        <v/>
      </c>
      <c r="F128" s="331"/>
      <c r="G128" s="422"/>
      <c r="H128" s="377"/>
      <c r="M128" s="378"/>
      <c r="N128" s="346">
        <f>IFERROR(VLOOKUP(G128,PartyStorage,2, FALSE),0)</f>
        <v>0</v>
      </c>
      <c r="R128" s="330"/>
    </row>
    <row r="129" ht="18.75" customHeight="1">
      <c r="A129" s="380"/>
      <c r="B129" s="396"/>
      <c r="C129" s="316"/>
      <c r="D129" s="389"/>
      <c r="E129" s="382" t="str">
        <f t="shared" si="1"/>
        <v/>
      </c>
      <c r="F129" s="316"/>
      <c r="G129" s="423"/>
      <c r="H129" s="384"/>
      <c r="M129" s="385"/>
      <c r="N129" s="346">
        <f>IFERROR(VLOOKUP(G129,PartyStorage,2, FALSE),0)</f>
        <v>0</v>
      </c>
      <c r="R129" s="330"/>
    </row>
    <row r="130" ht="18.75" customHeight="1">
      <c r="A130" s="380"/>
      <c r="B130" s="397"/>
      <c r="C130" s="331"/>
      <c r="D130" s="387"/>
      <c r="E130" s="375" t="str">
        <f t="shared" si="1"/>
        <v/>
      </c>
      <c r="F130" s="331"/>
      <c r="G130" s="422"/>
      <c r="H130" s="377"/>
      <c r="M130" s="378"/>
      <c r="N130" s="346">
        <f>IFERROR(VLOOKUP(G130,PartyStorage,2, FALSE),0)</f>
        <v>0</v>
      </c>
      <c r="R130" s="330"/>
    </row>
    <row r="131" ht="18.75" customHeight="1">
      <c r="A131" s="380"/>
      <c r="B131" s="396"/>
      <c r="C131" s="316"/>
      <c r="D131" s="389"/>
      <c r="E131" s="382" t="str">
        <f t="shared" si="1"/>
        <v/>
      </c>
      <c r="F131" s="316"/>
      <c r="G131" s="423"/>
      <c r="H131" s="384"/>
      <c r="M131" s="385"/>
      <c r="N131" s="346">
        <f>IFERROR(VLOOKUP(G131,PartyStorage,2, FALSE),0)</f>
        <v>0</v>
      </c>
      <c r="O131" s="428"/>
      <c r="P131" s="329"/>
      <c r="Q131" s="329"/>
      <c r="R131" s="330"/>
    </row>
    <row r="132" ht="18.75" customHeight="1">
      <c r="A132" s="380"/>
      <c r="B132" s="397"/>
      <c r="C132" s="331"/>
      <c r="D132" s="387"/>
      <c r="E132" s="375" t="str">
        <f t="shared" si="1"/>
        <v/>
      </c>
      <c r="F132" s="331"/>
      <c r="G132" s="422"/>
      <c r="H132" s="377"/>
      <c r="M132" s="378"/>
      <c r="N132" s="346">
        <f>IFERROR(VLOOKUP(G132,PartyStorage,2, FALSE),0)</f>
        <v>0</v>
      </c>
      <c r="O132" s="329"/>
      <c r="R132" s="330"/>
    </row>
    <row r="133" ht="18.75" customHeight="1">
      <c r="A133" s="380"/>
      <c r="B133" s="396"/>
      <c r="C133" s="316"/>
      <c r="D133" s="389"/>
      <c r="E133" s="382" t="str">
        <f t="shared" si="1"/>
        <v/>
      </c>
      <c r="F133" s="316"/>
      <c r="G133" s="423"/>
      <c r="H133" s="384"/>
      <c r="M133" s="385"/>
      <c r="N133" s="346">
        <f>IFERROR(VLOOKUP(G133,PartyStorage,2, FALSE),0)</f>
        <v>0</v>
      </c>
      <c r="R133" s="330"/>
    </row>
    <row r="134" ht="18.75" customHeight="1">
      <c r="A134" s="380"/>
      <c r="B134" s="397"/>
      <c r="C134" s="331"/>
      <c r="D134" s="387"/>
      <c r="E134" s="375" t="str">
        <f t="shared" si="1"/>
        <v/>
      </c>
      <c r="F134" s="331"/>
      <c r="G134" s="422"/>
      <c r="H134" s="377"/>
      <c r="M134" s="378"/>
      <c r="N134" s="346">
        <f>IFERROR(VLOOKUP(G134,PartyStorage,2, FALSE),0)</f>
        <v>0</v>
      </c>
      <c r="R134" s="330"/>
    </row>
    <row r="135" ht="18.75" customHeight="1">
      <c r="A135" s="380"/>
      <c r="B135" s="396"/>
      <c r="C135" s="316"/>
      <c r="D135" s="389"/>
      <c r="E135" s="382" t="str">
        <f t="shared" si="1"/>
        <v/>
      </c>
      <c r="F135" s="316"/>
      <c r="G135" s="423"/>
      <c r="H135" s="384"/>
      <c r="M135" s="385"/>
      <c r="N135" s="346">
        <f>IFERROR(VLOOKUP(G135,PartyStorage,2, FALSE),0)</f>
        <v>0</v>
      </c>
      <c r="R135" s="330"/>
    </row>
    <row r="136" ht="18.75" customHeight="1">
      <c r="A136" s="380"/>
      <c r="B136" s="397"/>
      <c r="C136" s="331"/>
      <c r="D136" s="387"/>
      <c r="E136" s="375" t="str">
        <f t="shared" si="1"/>
        <v/>
      </c>
      <c r="F136" s="331"/>
      <c r="G136" s="422"/>
      <c r="H136" s="377"/>
      <c r="M136" s="378"/>
      <c r="N136" s="346">
        <f>IFERROR(VLOOKUP(G136,PartyStorage,2, FALSE),0)</f>
        <v>0</v>
      </c>
      <c r="R136" s="330"/>
    </row>
    <row r="137" ht="18.75" customHeight="1">
      <c r="A137" s="380"/>
      <c r="B137" s="396"/>
      <c r="C137" s="316"/>
      <c r="D137" s="389"/>
      <c r="E137" s="382" t="str">
        <f t="shared" si="1"/>
        <v/>
      </c>
      <c r="F137" s="316"/>
      <c r="G137" s="423"/>
      <c r="H137" s="384"/>
      <c r="M137" s="385"/>
      <c r="N137" s="346">
        <f>IFERROR(VLOOKUP(G137,PartyStorage,2, FALSE),0)</f>
        <v>0</v>
      </c>
      <c r="R137" s="330"/>
    </row>
    <row r="138" ht="18.75" customHeight="1">
      <c r="A138" s="380"/>
      <c r="B138" s="397"/>
      <c r="C138" s="331"/>
      <c r="D138" s="387"/>
      <c r="E138" s="375" t="str">
        <f t="shared" si="1"/>
        <v/>
      </c>
      <c r="F138" s="331"/>
      <c r="G138" s="422"/>
      <c r="H138" s="377"/>
      <c r="M138" s="378"/>
      <c r="N138" s="346">
        <f>IFERROR(VLOOKUP(G138,PartyStorage,2, FALSE),0)</f>
        <v>0</v>
      </c>
      <c r="R138" s="330"/>
    </row>
    <row r="139" ht="18.75" customHeight="1">
      <c r="A139" s="380"/>
      <c r="B139" s="396"/>
      <c r="C139" s="316"/>
      <c r="D139" s="389"/>
      <c r="E139" s="382" t="str">
        <f t="shared" si="1"/>
        <v/>
      </c>
      <c r="F139" s="316"/>
      <c r="G139" s="423"/>
      <c r="H139" s="384"/>
      <c r="M139" s="385"/>
      <c r="N139" s="346">
        <f>IFERROR(VLOOKUP(G139,PartyStorage,2, FALSE),0)</f>
        <v>0</v>
      </c>
      <c r="R139" s="330"/>
    </row>
    <row r="140" ht="18.75" customHeight="1">
      <c r="A140" s="380"/>
      <c r="B140" s="397"/>
      <c r="C140" s="331"/>
      <c r="D140" s="387"/>
      <c r="E140" s="375" t="str">
        <f t="shared" si="1"/>
        <v/>
      </c>
      <c r="F140" s="331"/>
      <c r="G140" s="422"/>
      <c r="H140" s="377"/>
      <c r="M140" s="378"/>
      <c r="N140" s="346">
        <f>IFERROR(VLOOKUP(G140,PartyStorage,2, FALSE),0)</f>
        <v>0</v>
      </c>
      <c r="R140" s="330"/>
    </row>
    <row r="141" ht="18.75" customHeight="1">
      <c r="A141" s="380"/>
      <c r="B141" s="396"/>
      <c r="C141" s="316"/>
      <c r="D141" s="389"/>
      <c r="E141" s="382" t="str">
        <f t="shared" si="1"/>
        <v/>
      </c>
      <c r="F141" s="316"/>
      <c r="G141" s="423"/>
      <c r="H141" s="384"/>
      <c r="M141" s="385"/>
      <c r="N141" s="346">
        <f>IFERROR(VLOOKUP(G141,PartyStorage,2, FALSE),0)</f>
        <v>0</v>
      </c>
      <c r="R141" s="330"/>
    </row>
    <row r="142" ht="18.75" customHeight="1">
      <c r="A142" s="380"/>
      <c r="B142" s="397"/>
      <c r="C142" s="331"/>
      <c r="D142" s="387"/>
      <c r="E142" s="375" t="str">
        <f t="shared" si="1"/>
        <v/>
      </c>
      <c r="F142" s="331"/>
      <c r="G142" s="422"/>
      <c r="H142" s="377"/>
      <c r="M142" s="378"/>
      <c r="N142" s="346">
        <f>IFERROR(VLOOKUP(G142,PartyStorage,2, FALSE),0)</f>
        <v>0</v>
      </c>
      <c r="R142" s="330"/>
    </row>
    <row r="143" ht="18.75" customHeight="1">
      <c r="A143" s="380"/>
      <c r="B143" s="396"/>
      <c r="C143" s="316"/>
      <c r="D143" s="389"/>
      <c r="E143" s="382" t="str">
        <f t="shared" si="1"/>
        <v/>
      </c>
      <c r="F143" s="316"/>
      <c r="G143" s="423"/>
      <c r="H143" s="384"/>
      <c r="M143" s="385"/>
      <c r="N143" s="346">
        <f>IFERROR(VLOOKUP(G143,PartyStorage,2, FALSE),0)</f>
        <v>0</v>
      </c>
      <c r="O143" s="428"/>
      <c r="P143" s="329"/>
      <c r="Q143" s="329"/>
      <c r="R143" s="330"/>
    </row>
    <row r="144" ht="18.75" customHeight="1">
      <c r="A144" s="380"/>
      <c r="B144" s="397"/>
      <c r="C144" s="331"/>
      <c r="D144" s="387"/>
      <c r="E144" s="375" t="str">
        <f t="shared" si="1"/>
        <v/>
      </c>
      <c r="F144" s="331"/>
      <c r="G144" s="422"/>
      <c r="H144" s="377"/>
      <c r="M144" s="378"/>
      <c r="N144" s="346">
        <f>IFERROR(VLOOKUP(G144,PartyStorage,2, FALSE),0)</f>
        <v>0</v>
      </c>
      <c r="O144" s="329"/>
      <c r="R144" s="330"/>
    </row>
    <row r="145" ht="18.75" customHeight="1">
      <c r="A145" s="380"/>
      <c r="B145" s="396"/>
      <c r="C145" s="316"/>
      <c r="D145" s="389"/>
      <c r="E145" s="382" t="str">
        <f t="shared" si="1"/>
        <v/>
      </c>
      <c r="F145" s="316"/>
      <c r="G145" s="423"/>
      <c r="H145" s="384"/>
      <c r="M145" s="385"/>
      <c r="N145" s="346">
        <f>IFERROR(VLOOKUP(G145,PartyStorage,2, FALSE),0)</f>
        <v>0</v>
      </c>
      <c r="R145" s="330"/>
    </row>
    <row r="146" ht="18.75" customHeight="1">
      <c r="A146" s="380"/>
      <c r="B146" s="397"/>
      <c r="C146" s="331"/>
      <c r="D146" s="387"/>
      <c r="E146" s="375" t="str">
        <f t="shared" si="1"/>
        <v/>
      </c>
      <c r="F146" s="331"/>
      <c r="G146" s="422"/>
      <c r="H146" s="377"/>
      <c r="M146" s="378"/>
      <c r="N146" s="346">
        <f>IFERROR(VLOOKUP(G146,PartyStorage,2, FALSE),0)</f>
        <v>0</v>
      </c>
      <c r="R146" s="330"/>
    </row>
    <row r="147" ht="18.75" customHeight="1">
      <c r="A147" s="380"/>
      <c r="B147" s="396"/>
      <c r="C147" s="316"/>
      <c r="D147" s="389"/>
      <c r="E147" s="382" t="str">
        <f t="shared" si="1"/>
        <v/>
      </c>
      <c r="F147" s="316"/>
      <c r="G147" s="423"/>
      <c r="H147" s="384"/>
      <c r="M147" s="385"/>
      <c r="N147" s="346">
        <f>IFERROR(VLOOKUP(G147,PartyStorage,2, FALSE),0)</f>
        <v>0</v>
      </c>
      <c r="R147" s="330"/>
    </row>
    <row r="148" ht="18.75" customHeight="1">
      <c r="A148" s="380"/>
      <c r="B148" s="397"/>
      <c r="C148" s="331"/>
      <c r="D148" s="387"/>
      <c r="E148" s="375" t="str">
        <f t="shared" si="1"/>
        <v/>
      </c>
      <c r="F148" s="331"/>
      <c r="G148" s="422"/>
      <c r="H148" s="377"/>
      <c r="M148" s="378"/>
      <c r="N148" s="346">
        <f>IFERROR(VLOOKUP(G148,PartyStorage,2, FALSE),0)</f>
        <v>0</v>
      </c>
      <c r="R148" s="330"/>
    </row>
    <row r="149" ht="18.75" customHeight="1">
      <c r="A149" s="380"/>
      <c r="B149" s="396"/>
      <c r="C149" s="316"/>
      <c r="D149" s="389"/>
      <c r="E149" s="382" t="str">
        <f t="shared" si="1"/>
        <v/>
      </c>
      <c r="F149" s="316"/>
      <c r="G149" s="423"/>
      <c r="H149" s="384"/>
      <c r="M149" s="385"/>
      <c r="N149" s="346">
        <f>IFERROR(VLOOKUP(G149,PartyStorage,2, FALSE),0)</f>
        <v>0</v>
      </c>
      <c r="R149" s="330"/>
    </row>
    <row r="150" ht="18.75" customHeight="1">
      <c r="A150" s="380"/>
      <c r="B150" s="397"/>
      <c r="C150" s="331"/>
      <c r="D150" s="387"/>
      <c r="E150" s="375" t="str">
        <f t="shared" si="1"/>
        <v/>
      </c>
      <c r="F150" s="331"/>
      <c r="G150" s="422"/>
      <c r="H150" s="377"/>
      <c r="M150" s="378"/>
      <c r="N150" s="346">
        <f>IFERROR(VLOOKUP(G150,PartyStorage,2, FALSE),0)</f>
        <v>0</v>
      </c>
      <c r="R150" s="330"/>
    </row>
    <row r="151" ht="18.75" customHeight="1">
      <c r="A151" s="380"/>
      <c r="B151" s="396"/>
      <c r="C151" s="316"/>
      <c r="D151" s="389"/>
      <c r="E151" s="382" t="str">
        <f t="shared" si="1"/>
        <v/>
      </c>
      <c r="F151" s="316"/>
      <c r="G151" s="423"/>
      <c r="H151" s="384"/>
      <c r="M151" s="385"/>
      <c r="N151" s="346">
        <f>IFERROR(VLOOKUP(G151,PartyStorage,2, FALSE),0)</f>
        <v>0</v>
      </c>
      <c r="R151" s="330"/>
    </row>
    <row r="152" ht="18.75" customHeight="1">
      <c r="A152" s="380"/>
      <c r="B152" s="397"/>
      <c r="C152" s="331"/>
      <c r="D152" s="387"/>
      <c r="E152" s="375" t="str">
        <f t="shared" si="1"/>
        <v/>
      </c>
      <c r="F152" s="331"/>
      <c r="G152" s="422"/>
      <c r="H152" s="377"/>
      <c r="M152" s="378"/>
      <c r="N152" s="346">
        <f>IFERROR(VLOOKUP(G152,PartyStorage,2, FALSE),0)</f>
        <v>0</v>
      </c>
      <c r="R152" s="330"/>
    </row>
    <row r="153" ht="18.75" customHeight="1">
      <c r="A153" s="380"/>
      <c r="B153" s="396"/>
      <c r="C153" s="316"/>
      <c r="D153" s="389"/>
      <c r="E153" s="382" t="str">
        <f t="shared" si="1"/>
        <v/>
      </c>
      <c r="F153" s="316"/>
      <c r="G153" s="423"/>
      <c r="H153" s="384"/>
      <c r="M153" s="385"/>
      <c r="N153" s="346">
        <f>IFERROR(VLOOKUP(G153,PartyStorage,2, FALSE),0)</f>
        <v>0</v>
      </c>
      <c r="O153" s="428"/>
      <c r="P153" s="329"/>
      <c r="Q153" s="329"/>
      <c r="R153" s="330"/>
    </row>
    <row r="154" ht="18.75" customHeight="1">
      <c r="A154" s="380"/>
      <c r="B154" s="397"/>
      <c r="C154" s="331"/>
      <c r="D154" s="387"/>
      <c r="E154" s="375" t="str">
        <f t="shared" si="1"/>
        <v/>
      </c>
      <c r="F154" s="331"/>
      <c r="G154" s="422"/>
      <c r="H154" s="377"/>
      <c r="M154" s="378"/>
      <c r="N154" s="346">
        <f>IFERROR(VLOOKUP(G154,PartyStorage,2, FALSE),0)</f>
        <v>0</v>
      </c>
      <c r="O154" s="329"/>
      <c r="R154" s="330"/>
    </row>
    <row r="155" ht="18.75" customHeight="1">
      <c r="A155" s="380"/>
      <c r="B155" s="396"/>
      <c r="C155" s="316"/>
      <c r="D155" s="389"/>
      <c r="E155" s="382" t="str">
        <f t="shared" si="1"/>
        <v/>
      </c>
      <c r="F155" s="316"/>
      <c r="G155" s="423"/>
      <c r="H155" s="384"/>
      <c r="M155" s="385"/>
      <c r="N155" s="346">
        <f>IFERROR(VLOOKUP(G155,PartyStorage,2, FALSE),0)</f>
        <v>0</v>
      </c>
      <c r="R155" s="330"/>
    </row>
    <row r="156" ht="18.75" customHeight="1">
      <c r="A156" s="380"/>
      <c r="B156" s="397"/>
      <c r="C156" s="331"/>
      <c r="D156" s="387"/>
      <c r="E156" s="375" t="str">
        <f t="shared" si="1"/>
        <v/>
      </c>
      <c r="F156" s="331"/>
      <c r="G156" s="422"/>
      <c r="H156" s="377"/>
      <c r="M156" s="378"/>
      <c r="N156" s="346">
        <f>IFERROR(VLOOKUP(G156,PartyStorage,2, FALSE),0)</f>
        <v>0</v>
      </c>
      <c r="R156" s="330"/>
    </row>
    <row r="157" ht="18.75" customHeight="1">
      <c r="A157" s="380"/>
      <c r="B157" s="396"/>
      <c r="C157" s="316"/>
      <c r="D157" s="389"/>
      <c r="E157" s="382" t="str">
        <f t="shared" si="1"/>
        <v/>
      </c>
      <c r="F157" s="316"/>
      <c r="G157" s="423"/>
      <c r="H157" s="384"/>
      <c r="M157" s="385"/>
      <c r="N157" s="346">
        <f>IFERROR(VLOOKUP(G157,PartyStorage,2, FALSE),0)</f>
        <v>0</v>
      </c>
      <c r="R157" s="330"/>
    </row>
    <row r="158" ht="18.75" customHeight="1">
      <c r="A158" s="380"/>
      <c r="B158" s="397"/>
      <c r="C158" s="331"/>
      <c r="D158" s="387"/>
      <c r="E158" s="375" t="str">
        <f t="shared" si="1"/>
        <v/>
      </c>
      <c r="F158" s="331"/>
      <c r="G158" s="422"/>
      <c r="H158" s="377"/>
      <c r="M158" s="378"/>
      <c r="N158" s="346">
        <f>IFERROR(VLOOKUP(G158,PartyStorage,2, FALSE),0)</f>
        <v>0</v>
      </c>
      <c r="R158" s="330"/>
    </row>
    <row r="159" ht="18.75" customHeight="1">
      <c r="A159" s="380"/>
      <c r="B159" s="396"/>
      <c r="C159" s="316"/>
      <c r="D159" s="389"/>
      <c r="E159" s="382" t="str">
        <f t="shared" si="1"/>
        <v/>
      </c>
      <c r="F159" s="316"/>
      <c r="G159" s="423"/>
      <c r="H159" s="384"/>
      <c r="M159" s="385"/>
      <c r="N159" s="346">
        <f>IFERROR(VLOOKUP(G159,PartyStorage,2, FALSE),0)</f>
        <v>0</v>
      </c>
      <c r="R159" s="330"/>
    </row>
    <row r="160" ht="18.75" customHeight="1">
      <c r="A160" s="380"/>
      <c r="B160" s="397"/>
      <c r="C160" s="331"/>
      <c r="D160" s="387"/>
      <c r="E160" s="375" t="str">
        <f t="shared" si="1"/>
        <v/>
      </c>
      <c r="F160" s="331"/>
      <c r="G160" s="422"/>
      <c r="H160" s="377"/>
      <c r="M160" s="378"/>
      <c r="N160" s="346">
        <f>IFERROR(VLOOKUP(G160,PartyStorage,2, FALSE),0)</f>
        <v>0</v>
      </c>
      <c r="R160" s="330"/>
    </row>
    <row r="161" ht="18.75" customHeight="1">
      <c r="A161" s="380"/>
      <c r="B161" s="396"/>
      <c r="C161" s="316"/>
      <c r="D161" s="389"/>
      <c r="E161" s="382" t="str">
        <f t="shared" si="1"/>
        <v/>
      </c>
      <c r="F161" s="316"/>
      <c r="G161" s="423"/>
      <c r="H161" s="384"/>
      <c r="M161" s="385"/>
      <c r="N161" s="346">
        <f>IFERROR(VLOOKUP(G161,PartyStorage,2, FALSE),0)</f>
        <v>0</v>
      </c>
      <c r="R161" s="330"/>
    </row>
    <row r="162" ht="18.75" customHeight="1">
      <c r="A162" s="380"/>
      <c r="B162" s="397"/>
      <c r="C162" s="331"/>
      <c r="D162" s="387"/>
      <c r="E162" s="375" t="str">
        <f t="shared" si="1"/>
        <v/>
      </c>
      <c r="F162" s="331"/>
      <c r="G162" s="422"/>
      <c r="H162" s="377"/>
      <c r="M162" s="378"/>
      <c r="N162" s="346">
        <f>IFERROR(VLOOKUP(G162,PartyStorage,2, FALSE),0)</f>
        <v>0</v>
      </c>
      <c r="R162" s="330"/>
    </row>
    <row r="163" ht="18.75" customHeight="1">
      <c r="A163" s="380"/>
      <c r="B163" s="396"/>
      <c r="C163" s="316"/>
      <c r="D163" s="389"/>
      <c r="E163" s="382" t="str">
        <f t="shared" si="1"/>
        <v/>
      </c>
      <c r="F163" s="316"/>
      <c r="G163" s="423"/>
      <c r="H163" s="384"/>
      <c r="M163" s="385"/>
      <c r="N163" s="346">
        <f>IFERROR(VLOOKUP(G163,PartyStorage,2, FALSE),0)</f>
        <v>0</v>
      </c>
      <c r="R163" s="330"/>
    </row>
    <row r="164" ht="18.75" customHeight="1">
      <c r="A164" s="380"/>
      <c r="B164" s="397"/>
      <c r="C164" s="331"/>
      <c r="D164" s="387"/>
      <c r="E164" s="375" t="str">
        <f t="shared" si="1"/>
        <v/>
      </c>
      <c r="F164" s="331"/>
      <c r="G164" s="422"/>
      <c r="H164" s="377"/>
      <c r="M164" s="378"/>
      <c r="N164" s="346">
        <f>IFERROR(VLOOKUP(G164,PartyStorage,2, FALSE),0)</f>
        <v>0</v>
      </c>
      <c r="R164" s="330"/>
    </row>
    <row r="165" ht="18.75" customHeight="1">
      <c r="A165" s="380"/>
      <c r="B165" s="396"/>
      <c r="C165" s="316"/>
      <c r="D165" s="389"/>
      <c r="E165" s="382" t="str">
        <f t="shared" si="1"/>
        <v/>
      </c>
      <c r="F165" s="316"/>
      <c r="G165" s="423"/>
      <c r="H165" s="384"/>
      <c r="M165" s="385"/>
      <c r="N165" s="346">
        <f>IFERROR(VLOOKUP(G165,PartyStorage,2, FALSE),0)</f>
        <v>0</v>
      </c>
      <c r="R165" s="330"/>
    </row>
    <row r="166" ht="18.75" customHeight="1">
      <c r="A166" s="380"/>
      <c r="B166" s="397"/>
      <c r="C166" s="331"/>
      <c r="D166" s="387"/>
      <c r="E166" s="375" t="str">
        <f t="shared" si="1"/>
        <v/>
      </c>
      <c r="F166" s="331"/>
      <c r="G166" s="422"/>
      <c r="H166" s="377"/>
      <c r="M166" s="378"/>
      <c r="N166" s="346">
        <f>IFERROR(VLOOKUP(G166,PartyStorage,2, FALSE),0)</f>
        <v>0</v>
      </c>
      <c r="R166" s="330"/>
    </row>
    <row r="167" ht="18.75" customHeight="1">
      <c r="A167" s="380"/>
      <c r="B167" s="396"/>
      <c r="C167" s="316"/>
      <c r="D167" s="389"/>
      <c r="E167" s="382" t="str">
        <f t="shared" si="1"/>
        <v/>
      </c>
      <c r="F167" s="316"/>
      <c r="G167" s="423"/>
      <c r="H167" s="384"/>
      <c r="M167" s="385"/>
      <c r="N167" s="346">
        <f>IFERROR(VLOOKUP(G167,PartyStorage,2, FALSE),0)</f>
        <v>0</v>
      </c>
      <c r="R167" s="330"/>
    </row>
    <row r="168" ht="18.75" customHeight="1">
      <c r="A168" s="380"/>
      <c r="B168" s="397"/>
      <c r="C168" s="331"/>
      <c r="D168" s="387"/>
      <c r="E168" s="375" t="str">
        <f t="shared" si="1"/>
        <v/>
      </c>
      <c r="F168" s="331"/>
      <c r="G168" s="422"/>
      <c r="H168" s="377"/>
      <c r="M168" s="378"/>
      <c r="N168" s="346">
        <f>IFERROR(VLOOKUP(G168,PartyStorage,2, FALSE),0)</f>
        <v>0</v>
      </c>
      <c r="O168" s="428"/>
      <c r="P168" s="329"/>
      <c r="Q168" s="329"/>
      <c r="R168" s="330"/>
    </row>
    <row r="169" ht="18.75" customHeight="1">
      <c r="A169" s="380"/>
      <c r="B169" s="396"/>
      <c r="C169" s="316"/>
      <c r="D169" s="389"/>
      <c r="E169" s="382" t="str">
        <f t="shared" si="1"/>
        <v/>
      </c>
      <c r="F169" s="316"/>
      <c r="G169" s="423"/>
      <c r="H169" s="384"/>
      <c r="M169" s="385"/>
      <c r="N169" s="346">
        <f>IFERROR(VLOOKUP(G169,PartyStorage,2, FALSE),0)</f>
        <v>0</v>
      </c>
      <c r="O169" s="329"/>
      <c r="R169" s="330"/>
    </row>
    <row r="170" ht="18.75" customHeight="1">
      <c r="A170" s="380"/>
      <c r="B170" s="397"/>
      <c r="C170" s="331"/>
      <c r="D170" s="387"/>
      <c r="E170" s="375" t="str">
        <f t="shared" si="1"/>
        <v/>
      </c>
      <c r="F170" s="331"/>
      <c r="G170" s="422"/>
      <c r="H170" s="377"/>
      <c r="M170" s="378"/>
      <c r="N170" s="346">
        <f>IFERROR(VLOOKUP(G170,PartyStorage,2, FALSE),0)</f>
        <v>0</v>
      </c>
      <c r="R170" s="330"/>
    </row>
    <row r="171" ht="18.75" customHeight="1">
      <c r="A171" s="380"/>
      <c r="B171" s="396"/>
      <c r="C171" s="316"/>
      <c r="D171" s="389"/>
      <c r="E171" s="382" t="str">
        <f t="shared" si="1"/>
        <v/>
      </c>
      <c r="F171" s="316"/>
      <c r="G171" s="423"/>
      <c r="H171" s="384"/>
      <c r="M171" s="385"/>
      <c r="N171" s="346">
        <f>IFERROR(VLOOKUP(G171,PartyStorage,2, FALSE),0)</f>
        <v>0</v>
      </c>
      <c r="R171" s="330"/>
    </row>
    <row r="172" ht="18.75" customHeight="1">
      <c r="A172" s="380"/>
      <c r="B172" s="397"/>
      <c r="C172" s="331"/>
      <c r="D172" s="387"/>
      <c r="E172" s="375" t="str">
        <f t="shared" si="1"/>
        <v/>
      </c>
      <c r="F172" s="331"/>
      <c r="G172" s="422"/>
      <c r="H172" s="377"/>
      <c r="M172" s="378"/>
      <c r="N172" s="346">
        <f>IFERROR(VLOOKUP(G172,PartyStorage,2, FALSE),0)</f>
        <v>0</v>
      </c>
      <c r="R172" s="330"/>
    </row>
    <row r="173" ht="18.75" customHeight="1">
      <c r="A173" s="380"/>
      <c r="B173" s="396"/>
      <c r="C173" s="316"/>
      <c r="D173" s="389"/>
      <c r="E173" s="382" t="str">
        <f t="shared" si="1"/>
        <v/>
      </c>
      <c r="F173" s="316"/>
      <c r="G173" s="423"/>
      <c r="H173" s="384"/>
      <c r="M173" s="385"/>
      <c r="N173" s="346">
        <f>IFERROR(VLOOKUP(G173,PartyStorage,2, FALSE),0)</f>
        <v>0</v>
      </c>
      <c r="R173" s="330"/>
    </row>
    <row r="174" ht="18.75" customHeight="1">
      <c r="A174" s="380"/>
      <c r="B174" s="397"/>
      <c r="C174" s="331"/>
      <c r="D174" s="387"/>
      <c r="E174" s="375" t="str">
        <f t="shared" si="1"/>
        <v/>
      </c>
      <c r="F174" s="331"/>
      <c r="G174" s="422"/>
      <c r="H174" s="377"/>
      <c r="M174" s="378"/>
      <c r="N174" s="346">
        <f>IFERROR(VLOOKUP(G174,PartyStorage,2, FALSE),0)</f>
        <v>0</v>
      </c>
      <c r="R174" s="330"/>
    </row>
    <row r="175" ht="18.75" customHeight="1">
      <c r="A175" s="380"/>
      <c r="B175" s="396"/>
      <c r="C175" s="316"/>
      <c r="D175" s="389"/>
      <c r="E175" s="382" t="str">
        <f t="shared" si="1"/>
        <v/>
      </c>
      <c r="F175" s="316"/>
      <c r="G175" s="423"/>
      <c r="H175" s="384"/>
      <c r="M175" s="385"/>
      <c r="N175" s="346">
        <f>IFERROR(VLOOKUP(G175,PartyStorage,2, FALSE),0)</f>
        <v>0</v>
      </c>
      <c r="R175" s="330"/>
    </row>
    <row r="176" ht="18.75" customHeight="1">
      <c r="A176" s="380"/>
      <c r="B176" s="397"/>
      <c r="C176" s="331"/>
      <c r="D176" s="387"/>
      <c r="E176" s="375" t="str">
        <f t="shared" si="1"/>
        <v/>
      </c>
      <c r="F176" s="331"/>
      <c r="G176" s="422"/>
      <c r="H176" s="377"/>
      <c r="M176" s="378"/>
      <c r="N176" s="346">
        <f>IFERROR(VLOOKUP(G176,PartyStorage,2, FALSE),0)</f>
        <v>0</v>
      </c>
      <c r="R176" s="330"/>
    </row>
    <row r="177" ht="18.75" customHeight="1">
      <c r="A177" s="380"/>
      <c r="B177" s="396"/>
      <c r="C177" s="316"/>
      <c r="D177" s="389"/>
      <c r="E177" s="382" t="str">
        <f t="shared" si="1"/>
        <v/>
      </c>
      <c r="F177" s="316"/>
      <c r="G177" s="423"/>
      <c r="H177" s="384"/>
      <c r="M177" s="385"/>
      <c r="N177" s="346">
        <f>IFERROR(VLOOKUP(G177,PartyStorage,2, FALSE),0)</f>
        <v>0</v>
      </c>
      <c r="R177" s="330"/>
    </row>
    <row r="178" ht="18.75" customHeight="1">
      <c r="A178" s="380"/>
      <c r="B178" s="397"/>
      <c r="C178" s="331"/>
      <c r="D178" s="387"/>
      <c r="E178" s="375" t="str">
        <f t="shared" si="1"/>
        <v/>
      </c>
      <c r="F178" s="331"/>
      <c r="G178" s="422"/>
      <c r="H178" s="377"/>
      <c r="M178" s="378"/>
      <c r="N178" s="346">
        <f>IFERROR(VLOOKUP(G178,PartyStorage,2, FALSE),0)</f>
        <v>0</v>
      </c>
      <c r="R178" s="330"/>
    </row>
    <row r="179" ht="18.75" customHeight="1">
      <c r="A179" s="380"/>
      <c r="B179" s="396"/>
      <c r="C179" s="316"/>
      <c r="D179" s="389"/>
      <c r="E179" s="382" t="str">
        <f t="shared" si="1"/>
        <v/>
      </c>
      <c r="F179" s="316"/>
      <c r="G179" s="423"/>
      <c r="H179" s="384"/>
      <c r="M179" s="385"/>
      <c r="N179" s="346">
        <f>IFERROR(VLOOKUP(G179,PartyStorage,2, FALSE),0)</f>
        <v>0</v>
      </c>
      <c r="R179" s="330"/>
    </row>
    <row r="180" ht="18.75" customHeight="1">
      <c r="A180" s="380"/>
      <c r="B180" s="397"/>
      <c r="C180" s="331"/>
      <c r="D180" s="387"/>
      <c r="E180" s="375" t="str">
        <f t="shared" si="1"/>
        <v/>
      </c>
      <c r="F180" s="331"/>
      <c r="G180" s="422"/>
      <c r="H180" s="377"/>
      <c r="M180" s="378"/>
      <c r="N180" s="346">
        <f>IFERROR(VLOOKUP(G180,PartyStorage,2, FALSE),0)</f>
        <v>0</v>
      </c>
      <c r="R180" s="330"/>
    </row>
    <row r="181" ht="18.75" customHeight="1">
      <c r="A181" s="380"/>
      <c r="B181" s="396"/>
      <c r="C181" s="316"/>
      <c r="D181" s="389"/>
      <c r="E181" s="382" t="str">
        <f t="shared" si="1"/>
        <v/>
      </c>
      <c r="F181" s="316"/>
      <c r="G181" s="423"/>
      <c r="H181" s="384"/>
      <c r="M181" s="385"/>
      <c r="N181" s="346">
        <f>IFERROR(VLOOKUP(G181,PartyStorage,2, FALSE),0)</f>
        <v>0</v>
      </c>
      <c r="R181" s="330"/>
    </row>
    <row r="182" ht="18.75" customHeight="1">
      <c r="A182" s="380"/>
      <c r="B182" s="397"/>
      <c r="C182" s="331"/>
      <c r="D182" s="387"/>
      <c r="E182" s="375" t="str">
        <f t="shared" si="1"/>
        <v/>
      </c>
      <c r="F182" s="331"/>
      <c r="G182" s="422"/>
      <c r="H182" s="377"/>
      <c r="M182" s="378"/>
      <c r="N182" s="346">
        <f>IFERROR(VLOOKUP(G182,PartyStorage,2, FALSE),0)</f>
        <v>0</v>
      </c>
      <c r="R182" s="330"/>
    </row>
    <row r="183" ht="18.75" customHeight="1">
      <c r="A183" s="380"/>
      <c r="B183" s="396"/>
      <c r="C183" s="316"/>
      <c r="D183" s="389"/>
      <c r="E183" s="382" t="str">
        <f t="shared" si="1"/>
        <v/>
      </c>
      <c r="F183" s="316"/>
      <c r="G183" s="423"/>
      <c r="H183" s="384"/>
      <c r="M183" s="385"/>
      <c r="N183" s="346">
        <f>IFERROR(VLOOKUP(G183,PartyStorage,2, FALSE),0)</f>
        <v>0</v>
      </c>
      <c r="O183" s="428"/>
      <c r="P183" s="329"/>
      <c r="Q183" s="329"/>
      <c r="R183" s="330"/>
    </row>
    <row r="184" ht="18.75" customHeight="1">
      <c r="A184" s="380"/>
      <c r="B184" s="397"/>
      <c r="C184" s="331"/>
      <c r="D184" s="387"/>
      <c r="E184" s="375" t="str">
        <f t="shared" si="1"/>
        <v/>
      </c>
      <c r="F184" s="331"/>
      <c r="G184" s="422"/>
      <c r="H184" s="377"/>
      <c r="M184" s="378"/>
      <c r="N184" s="346">
        <f>IFERROR(VLOOKUP(G184,PartyStorage,2, FALSE),0)</f>
        <v>0</v>
      </c>
      <c r="O184" s="329"/>
      <c r="R184" s="330"/>
    </row>
    <row r="185" ht="18.75" customHeight="1">
      <c r="A185" s="380"/>
      <c r="B185" s="396"/>
      <c r="C185" s="316"/>
      <c r="D185" s="389"/>
      <c r="E185" s="382" t="str">
        <f t="shared" si="1"/>
        <v/>
      </c>
      <c r="F185" s="316"/>
      <c r="G185" s="423"/>
      <c r="H185" s="384"/>
      <c r="M185" s="385"/>
      <c r="N185" s="346">
        <f>IFERROR(VLOOKUP(G185,PartyStorage,2, FALSE),0)</f>
        <v>0</v>
      </c>
      <c r="R185" s="330"/>
    </row>
    <row r="186" ht="18.75" customHeight="1">
      <c r="A186" s="380"/>
      <c r="B186" s="397"/>
      <c r="C186" s="331"/>
      <c r="D186" s="387"/>
      <c r="E186" s="375" t="str">
        <f t="shared" si="1"/>
        <v/>
      </c>
      <c r="F186" s="331"/>
      <c r="G186" s="422"/>
      <c r="H186" s="377"/>
      <c r="M186" s="378"/>
      <c r="N186" s="346">
        <f>IFERROR(VLOOKUP(G186,PartyStorage,2, FALSE),0)</f>
        <v>0</v>
      </c>
      <c r="R186" s="330"/>
    </row>
    <row r="187" ht="18.75" customHeight="1">
      <c r="A187" s="380"/>
      <c r="B187" s="396"/>
      <c r="C187" s="316"/>
      <c r="D187" s="389"/>
      <c r="E187" s="382" t="str">
        <f t="shared" si="1"/>
        <v/>
      </c>
      <c r="F187" s="316"/>
      <c r="G187" s="423"/>
      <c r="H187" s="384"/>
      <c r="M187" s="385"/>
      <c r="N187" s="346">
        <f>IFERROR(VLOOKUP(G187,PartyStorage,2, FALSE),0)</f>
        <v>0</v>
      </c>
      <c r="R187" s="330"/>
    </row>
    <row r="188" ht="18.75" customHeight="1">
      <c r="A188" s="380"/>
      <c r="B188" s="397"/>
      <c r="C188" s="331"/>
      <c r="D188" s="387"/>
      <c r="E188" s="375" t="str">
        <f t="shared" si="1"/>
        <v/>
      </c>
      <c r="F188" s="331"/>
      <c r="G188" s="422"/>
      <c r="H188" s="377"/>
      <c r="M188" s="378"/>
      <c r="N188" s="346">
        <f>IFERROR(VLOOKUP(G188,PartyStorage,2, FALSE),0)</f>
        <v>0</v>
      </c>
      <c r="R188" s="330"/>
    </row>
    <row r="189" ht="18.75" customHeight="1">
      <c r="A189" s="380"/>
      <c r="B189" s="396"/>
      <c r="C189" s="316"/>
      <c r="D189" s="389"/>
      <c r="E189" s="382" t="str">
        <f t="shared" si="1"/>
        <v/>
      </c>
      <c r="F189" s="316"/>
      <c r="G189" s="423"/>
      <c r="H189" s="384"/>
      <c r="M189" s="385"/>
      <c r="N189" s="346">
        <f>IFERROR(VLOOKUP(G189,PartyStorage,2, FALSE),0)</f>
        <v>0</v>
      </c>
      <c r="R189" s="330"/>
    </row>
    <row r="190" ht="18.75" customHeight="1">
      <c r="A190" s="380"/>
      <c r="B190" s="397"/>
      <c r="C190" s="331"/>
      <c r="D190" s="387"/>
      <c r="E190" s="375" t="str">
        <f t="shared" si="1"/>
        <v/>
      </c>
      <c r="F190" s="331"/>
      <c r="G190" s="422"/>
      <c r="H190" s="377"/>
      <c r="M190" s="378"/>
      <c r="N190" s="346">
        <f>IFERROR(VLOOKUP(G190,PartyStorage,2, FALSE),0)</f>
        <v>0</v>
      </c>
      <c r="R190" s="330"/>
    </row>
    <row r="191" ht="18.75" customHeight="1">
      <c r="A191" s="380"/>
      <c r="B191" s="396"/>
      <c r="C191" s="316"/>
      <c r="D191" s="389"/>
      <c r="E191" s="382" t="str">
        <f t="shared" si="1"/>
        <v/>
      </c>
      <c r="F191" s="316"/>
      <c r="G191" s="423"/>
      <c r="H191" s="384"/>
      <c r="M191" s="385"/>
      <c r="N191" s="346">
        <f>IFERROR(VLOOKUP(G191,PartyStorage,2, FALSE),0)</f>
        <v>0</v>
      </c>
      <c r="R191" s="330"/>
    </row>
    <row r="192" ht="18.75" customHeight="1">
      <c r="A192" s="380"/>
      <c r="B192" s="397"/>
      <c r="C192" s="331"/>
      <c r="D192" s="387"/>
      <c r="E192" s="375" t="str">
        <f t="shared" si="1"/>
        <v/>
      </c>
      <c r="F192" s="331"/>
      <c r="G192" s="422"/>
      <c r="H192" s="377"/>
      <c r="M192" s="378"/>
      <c r="N192" s="346">
        <f>IFERROR(VLOOKUP(G192,PartyStorage,2, FALSE),0)</f>
        <v>0</v>
      </c>
      <c r="R192" s="330"/>
    </row>
    <row r="193" ht="18.75" customHeight="1">
      <c r="A193" s="380"/>
      <c r="B193" s="396"/>
      <c r="C193" s="316"/>
      <c r="D193" s="389"/>
      <c r="E193" s="382" t="str">
        <f t="shared" si="1"/>
        <v/>
      </c>
      <c r="F193" s="316"/>
      <c r="G193" s="423"/>
      <c r="H193" s="384"/>
      <c r="M193" s="385"/>
      <c r="N193" s="346">
        <f>IFERROR(VLOOKUP(G193,PartyStorage,2, FALSE),0)</f>
        <v>0</v>
      </c>
      <c r="R193" s="330"/>
    </row>
    <row r="194" ht="18.75" customHeight="1">
      <c r="A194" s="380"/>
      <c r="B194" s="397"/>
      <c r="C194" s="331"/>
      <c r="D194" s="387"/>
      <c r="E194" s="375" t="str">
        <f t="shared" si="1"/>
        <v/>
      </c>
      <c r="F194" s="331"/>
      <c r="G194" s="422"/>
      <c r="H194" s="377"/>
      <c r="M194" s="378"/>
      <c r="N194" s="346">
        <f>IFERROR(VLOOKUP(G194,PartyStorage,2, FALSE),0)</f>
        <v>0</v>
      </c>
      <c r="R194" s="330"/>
    </row>
    <row r="195" ht="18.75" customHeight="1">
      <c r="A195" s="380"/>
      <c r="B195" s="396"/>
      <c r="C195" s="316"/>
      <c r="D195" s="389"/>
      <c r="E195" s="382" t="str">
        <f t="shared" si="1"/>
        <v/>
      </c>
      <c r="F195" s="316"/>
      <c r="G195" s="423"/>
      <c r="H195" s="384"/>
      <c r="M195" s="385"/>
      <c r="N195" s="346">
        <f>IFERROR(VLOOKUP(G195,PartyStorage,2, FALSE),0)</f>
        <v>0</v>
      </c>
      <c r="R195" s="330"/>
    </row>
    <row r="196" ht="18.75" customHeight="1">
      <c r="A196" s="380"/>
      <c r="B196" s="397"/>
      <c r="C196" s="331"/>
      <c r="D196" s="387"/>
      <c r="E196" s="375" t="str">
        <f t="shared" si="1"/>
        <v/>
      </c>
      <c r="F196" s="331"/>
      <c r="G196" s="422"/>
      <c r="H196" s="377"/>
      <c r="M196" s="378"/>
      <c r="N196" s="346">
        <f>IFERROR(VLOOKUP(G196,PartyStorage,2, FALSE),0)</f>
        <v>0</v>
      </c>
      <c r="R196" s="330"/>
    </row>
    <row r="197" ht="18.75" customHeight="1">
      <c r="A197" s="380"/>
      <c r="B197" s="396"/>
      <c r="C197" s="316"/>
      <c r="D197" s="389"/>
      <c r="E197" s="382" t="str">
        <f t="shared" si="1"/>
        <v/>
      </c>
      <c r="F197" s="316"/>
      <c r="G197" s="423"/>
      <c r="H197" s="384"/>
      <c r="M197" s="385"/>
      <c r="N197" s="346">
        <f>IFERROR(VLOOKUP(G197,PartyStorage,2, FALSE),0)</f>
        <v>0</v>
      </c>
      <c r="R197" s="330"/>
    </row>
    <row r="198" ht="18.75" customHeight="1">
      <c r="A198" s="380"/>
      <c r="B198" s="397"/>
      <c r="C198" s="331"/>
      <c r="D198" s="387"/>
      <c r="E198" s="375" t="str">
        <f t="shared" si="1"/>
        <v/>
      </c>
      <c r="F198" s="331"/>
      <c r="G198" s="422"/>
      <c r="H198" s="377"/>
      <c r="M198" s="378"/>
      <c r="N198" s="346">
        <f>IFERROR(VLOOKUP(G198,PartyStorage,2, FALSE),0)</f>
        <v>0</v>
      </c>
      <c r="R198" s="330"/>
    </row>
    <row r="199" ht="18.75" customHeight="1">
      <c r="A199" s="380"/>
      <c r="B199" s="396"/>
      <c r="C199" s="316"/>
      <c r="D199" s="389"/>
      <c r="E199" s="382" t="str">
        <f t="shared" si="1"/>
        <v/>
      </c>
      <c r="F199" s="316"/>
      <c r="G199" s="423"/>
      <c r="H199" s="384"/>
      <c r="M199" s="385"/>
      <c r="N199" s="346">
        <f>IFERROR(VLOOKUP(G199,PartyStorage,2, FALSE),0)</f>
        <v>0</v>
      </c>
      <c r="O199" s="329"/>
      <c r="P199" s="329"/>
      <c r="Q199" s="329"/>
      <c r="R199" s="330"/>
    </row>
    <row r="200" ht="18.75" customHeight="1">
      <c r="A200" s="380"/>
      <c r="B200" s="397"/>
      <c r="C200" s="331"/>
      <c r="D200" s="387"/>
      <c r="E200" s="375" t="str">
        <f t="shared" si="1"/>
        <v/>
      </c>
      <c r="F200" s="331"/>
      <c r="G200" s="422"/>
      <c r="H200" s="377"/>
      <c r="M200" s="378"/>
      <c r="N200" s="346">
        <f>IFERROR(VLOOKUP(G200,PartyStorage,2, FALSE),0)</f>
        <v>0</v>
      </c>
      <c r="O200" s="329"/>
      <c r="P200" s="329"/>
      <c r="Q200" s="329"/>
      <c r="R200" s="330"/>
    </row>
    <row r="201" ht="18.75" customHeight="1">
      <c r="A201" s="380"/>
      <c r="B201" s="429"/>
      <c r="C201" s="336"/>
      <c r="D201" s="430"/>
      <c r="E201" s="431" t="str">
        <f t="shared" si="1"/>
        <v/>
      </c>
      <c r="F201" s="336"/>
      <c r="G201" s="432"/>
      <c r="H201" s="433"/>
      <c r="I201" s="434"/>
      <c r="J201" s="434"/>
      <c r="K201" s="434"/>
      <c r="L201" s="434"/>
      <c r="M201" s="435"/>
      <c r="N201" s="346">
        <f>IFERROR(VLOOKUP(G201,PartyStorage,2, FALSE),0)</f>
        <v>0</v>
      </c>
      <c r="O201" s="329"/>
      <c r="P201" s="329"/>
      <c r="Q201" s="329"/>
      <c r="R201" s="330"/>
    </row>
    <row r="202" ht="7.5" customHeight="1">
      <c r="A202" s="380"/>
      <c r="B202" s="261"/>
      <c r="C202" s="261"/>
      <c r="D202" s="261"/>
      <c r="E202" s="261"/>
      <c r="F202" s="261"/>
      <c r="G202" s="261"/>
      <c r="H202" s="261"/>
      <c r="I202" s="261"/>
      <c r="J202" s="261"/>
      <c r="K202" s="261"/>
      <c r="L202" s="261"/>
      <c r="M202" s="261"/>
      <c r="N202" s="346"/>
      <c r="O202" s="329"/>
      <c r="P202" s="329"/>
      <c r="Q202" s="329"/>
      <c r="R202" s="330"/>
    </row>
  </sheetData>
  <mergeCells count="267">
    <mergeCell ref="H114:M114"/>
    <mergeCell ref="H115:M115"/>
    <mergeCell ref="H116:M116"/>
    <mergeCell ref="H117:M117"/>
    <mergeCell ref="H107:M107"/>
    <mergeCell ref="H108:M108"/>
    <mergeCell ref="H109:M109"/>
    <mergeCell ref="H110:M110"/>
    <mergeCell ref="H111:M111"/>
    <mergeCell ref="H112:M112"/>
    <mergeCell ref="H113:M113"/>
    <mergeCell ref="H77:M77"/>
    <mergeCell ref="O77:Q77"/>
    <mergeCell ref="H78:M78"/>
    <mergeCell ref="O78:P78"/>
    <mergeCell ref="H79:M79"/>
    <mergeCell ref="O79:P79"/>
    <mergeCell ref="O80:P80"/>
    <mergeCell ref="H80:M80"/>
    <mergeCell ref="H81:M81"/>
    <mergeCell ref="O81:P81"/>
    <mergeCell ref="H82:M82"/>
    <mergeCell ref="O82:P82"/>
    <mergeCell ref="H83:M83"/>
    <mergeCell ref="O84:Q84"/>
    <mergeCell ref="O87:P87"/>
    <mergeCell ref="O88:P88"/>
    <mergeCell ref="H84:M84"/>
    <mergeCell ref="H85:M85"/>
    <mergeCell ref="O85:P85"/>
    <mergeCell ref="H86:M86"/>
    <mergeCell ref="O86:P86"/>
    <mergeCell ref="H87:M87"/>
    <mergeCell ref="H88:M88"/>
    <mergeCell ref="H89:M89"/>
    <mergeCell ref="O89:P89"/>
    <mergeCell ref="H90:M90"/>
    <mergeCell ref="H91:M91"/>
    <mergeCell ref="O91:Q91"/>
    <mergeCell ref="H92:M92"/>
    <mergeCell ref="H93:M93"/>
    <mergeCell ref="H146:M146"/>
    <mergeCell ref="H147:M147"/>
    <mergeCell ref="H148:M148"/>
    <mergeCell ref="H149:M149"/>
    <mergeCell ref="H94:M94"/>
    <mergeCell ref="O94:P94"/>
    <mergeCell ref="H95:M95"/>
    <mergeCell ref="O95:P95"/>
    <mergeCell ref="H96:M96"/>
    <mergeCell ref="O96:P96"/>
    <mergeCell ref="H97:M97"/>
    <mergeCell ref="H150:M150"/>
    <mergeCell ref="H151:M151"/>
    <mergeCell ref="O92:P92"/>
    <mergeCell ref="O93:P93"/>
    <mergeCell ref="O98:Q115"/>
    <mergeCell ref="O117:Q130"/>
    <mergeCell ref="O132:Q142"/>
    <mergeCell ref="O144:Q152"/>
    <mergeCell ref="H145:M145"/>
    <mergeCell ref="H158:M158"/>
    <mergeCell ref="H159:M159"/>
    <mergeCell ref="H160:M160"/>
    <mergeCell ref="H161:M161"/>
    <mergeCell ref="H162:M162"/>
    <mergeCell ref="H163:M163"/>
    <mergeCell ref="H164:M164"/>
    <mergeCell ref="H165:M165"/>
    <mergeCell ref="H188:M188"/>
    <mergeCell ref="H189:M189"/>
    <mergeCell ref="H190:M190"/>
    <mergeCell ref="H191:M191"/>
    <mergeCell ref="H192:M192"/>
    <mergeCell ref="H193:M193"/>
    <mergeCell ref="H194:M194"/>
    <mergeCell ref="H195:M195"/>
    <mergeCell ref="H196:M196"/>
    <mergeCell ref="H197:M197"/>
    <mergeCell ref="H198:M198"/>
    <mergeCell ref="H199:M199"/>
    <mergeCell ref="H200:M200"/>
    <mergeCell ref="H201:M201"/>
    <mergeCell ref="H182:M182"/>
    <mergeCell ref="H183:M183"/>
    <mergeCell ref="H184:M184"/>
    <mergeCell ref="O184:Q198"/>
    <mergeCell ref="H185:M185"/>
    <mergeCell ref="H186:M186"/>
    <mergeCell ref="H187:M187"/>
    <mergeCell ref="H152:M152"/>
    <mergeCell ref="H153:M153"/>
    <mergeCell ref="H154:M154"/>
    <mergeCell ref="O154:Q167"/>
    <mergeCell ref="H155:M155"/>
    <mergeCell ref="H156:M156"/>
    <mergeCell ref="H157:M157"/>
    <mergeCell ref="H172:M172"/>
    <mergeCell ref="H173:M173"/>
    <mergeCell ref="H174:M174"/>
    <mergeCell ref="H175:M175"/>
    <mergeCell ref="H176:M176"/>
    <mergeCell ref="H177:M177"/>
    <mergeCell ref="H178:M178"/>
    <mergeCell ref="H179:M179"/>
    <mergeCell ref="H180:M180"/>
    <mergeCell ref="H181:M181"/>
    <mergeCell ref="H166:M166"/>
    <mergeCell ref="H167:M167"/>
    <mergeCell ref="H168:M168"/>
    <mergeCell ref="H169:M169"/>
    <mergeCell ref="O169:Q182"/>
    <mergeCell ref="H170:M170"/>
    <mergeCell ref="H171:M171"/>
    <mergeCell ref="B2:C2"/>
    <mergeCell ref="O2:Q2"/>
    <mergeCell ref="O6:Q6"/>
    <mergeCell ref="B10:C10"/>
    <mergeCell ref="O10:Q10"/>
    <mergeCell ref="O14:Q14"/>
    <mergeCell ref="O15:P15"/>
    <mergeCell ref="O16:P16"/>
    <mergeCell ref="O17:P17"/>
    <mergeCell ref="O18:P18"/>
    <mergeCell ref="H19:M19"/>
    <mergeCell ref="O19:P19"/>
    <mergeCell ref="H20:M20"/>
    <mergeCell ref="O21:Q21"/>
    <mergeCell ref="O24:P24"/>
    <mergeCell ref="O25:P25"/>
    <mergeCell ref="H21:M21"/>
    <mergeCell ref="H22:M22"/>
    <mergeCell ref="O22:P22"/>
    <mergeCell ref="H23:M23"/>
    <mergeCell ref="O23:P23"/>
    <mergeCell ref="H24:M24"/>
    <mergeCell ref="H25:M25"/>
    <mergeCell ref="O29:P29"/>
    <mergeCell ref="O30:P30"/>
    <mergeCell ref="H26:M26"/>
    <mergeCell ref="O26:P26"/>
    <mergeCell ref="H27:M27"/>
    <mergeCell ref="H28:M28"/>
    <mergeCell ref="O28:Q28"/>
    <mergeCell ref="H29:M29"/>
    <mergeCell ref="H30:M30"/>
    <mergeCell ref="H31:M31"/>
    <mergeCell ref="O31:P31"/>
    <mergeCell ref="H32:M32"/>
    <mergeCell ref="O32:P32"/>
    <mergeCell ref="H33:M33"/>
    <mergeCell ref="O33:P33"/>
    <mergeCell ref="H34:M34"/>
    <mergeCell ref="H35:M35"/>
    <mergeCell ref="O35:Q35"/>
    <mergeCell ref="H36:M36"/>
    <mergeCell ref="O36:P36"/>
    <mergeCell ref="H37:M37"/>
    <mergeCell ref="O37:P37"/>
    <mergeCell ref="O38:P38"/>
    <mergeCell ref="H38:M38"/>
    <mergeCell ref="H39:M39"/>
    <mergeCell ref="O39:P39"/>
    <mergeCell ref="H40:M40"/>
    <mergeCell ref="O40:P40"/>
    <mergeCell ref="H41:M41"/>
    <mergeCell ref="O42:Q42"/>
    <mergeCell ref="O45:P45"/>
    <mergeCell ref="O46:P46"/>
    <mergeCell ref="H42:M42"/>
    <mergeCell ref="H43:M43"/>
    <mergeCell ref="O43:P43"/>
    <mergeCell ref="H44:M44"/>
    <mergeCell ref="O44:P44"/>
    <mergeCell ref="H45:M45"/>
    <mergeCell ref="H46:M46"/>
    <mergeCell ref="O50:P50"/>
    <mergeCell ref="O51:P51"/>
    <mergeCell ref="H47:M47"/>
    <mergeCell ref="O47:P47"/>
    <mergeCell ref="H48:M48"/>
    <mergeCell ref="H49:M49"/>
    <mergeCell ref="O49:Q49"/>
    <mergeCell ref="H50:M50"/>
    <mergeCell ref="H51:M51"/>
    <mergeCell ref="H52:M52"/>
    <mergeCell ref="O52:P52"/>
    <mergeCell ref="H53:M53"/>
    <mergeCell ref="O53:P53"/>
    <mergeCell ref="H54:M54"/>
    <mergeCell ref="O54:P54"/>
    <mergeCell ref="H55:M55"/>
    <mergeCell ref="H56:M56"/>
    <mergeCell ref="O56:Q56"/>
    <mergeCell ref="H57:M57"/>
    <mergeCell ref="O57:P57"/>
    <mergeCell ref="H58:M58"/>
    <mergeCell ref="O58:P58"/>
    <mergeCell ref="O59:P59"/>
    <mergeCell ref="H59:M59"/>
    <mergeCell ref="H60:M60"/>
    <mergeCell ref="O60:P60"/>
    <mergeCell ref="H61:M61"/>
    <mergeCell ref="O61:P61"/>
    <mergeCell ref="H62:M62"/>
    <mergeCell ref="O63:Q63"/>
    <mergeCell ref="O66:P66"/>
    <mergeCell ref="O67:P67"/>
    <mergeCell ref="H63:M63"/>
    <mergeCell ref="H64:M64"/>
    <mergeCell ref="O64:P64"/>
    <mergeCell ref="H65:M65"/>
    <mergeCell ref="O65:P65"/>
    <mergeCell ref="H66:M66"/>
    <mergeCell ref="H67:M67"/>
    <mergeCell ref="O71:P71"/>
    <mergeCell ref="O72:P72"/>
    <mergeCell ref="H68:M68"/>
    <mergeCell ref="O68:P68"/>
    <mergeCell ref="H69:M69"/>
    <mergeCell ref="H70:M70"/>
    <mergeCell ref="O70:Q70"/>
    <mergeCell ref="H71:M71"/>
    <mergeCell ref="H72:M72"/>
    <mergeCell ref="H73:M73"/>
    <mergeCell ref="O73:P73"/>
    <mergeCell ref="H74:M74"/>
    <mergeCell ref="O74:P74"/>
    <mergeCell ref="H75:M75"/>
    <mergeCell ref="O75:P75"/>
    <mergeCell ref="H76:M76"/>
    <mergeCell ref="H105:M105"/>
    <mergeCell ref="H106:M106"/>
    <mergeCell ref="H98:M98"/>
    <mergeCell ref="H99:M99"/>
    <mergeCell ref="H100:M100"/>
    <mergeCell ref="H101:M101"/>
    <mergeCell ref="H102:M102"/>
    <mergeCell ref="H103:M103"/>
    <mergeCell ref="H104:M104"/>
    <mergeCell ref="H125:M125"/>
    <mergeCell ref="H126:M126"/>
    <mergeCell ref="H118:M118"/>
    <mergeCell ref="H119:M119"/>
    <mergeCell ref="H120:M120"/>
    <mergeCell ref="H121:M121"/>
    <mergeCell ref="H122:M122"/>
    <mergeCell ref="H123:M123"/>
    <mergeCell ref="H124:M124"/>
    <mergeCell ref="H134:M134"/>
    <mergeCell ref="H135:M135"/>
    <mergeCell ref="H127:M127"/>
    <mergeCell ref="H128:M128"/>
    <mergeCell ref="H129:M129"/>
    <mergeCell ref="H130:M130"/>
    <mergeCell ref="H131:M131"/>
    <mergeCell ref="H132:M132"/>
    <mergeCell ref="H133:M133"/>
    <mergeCell ref="H143:M143"/>
    <mergeCell ref="H144:M144"/>
    <mergeCell ref="H136:M136"/>
    <mergeCell ref="H137:M137"/>
    <mergeCell ref="H138:M138"/>
    <mergeCell ref="H139:M139"/>
    <mergeCell ref="H140:M140"/>
    <mergeCell ref="H141:M141"/>
    <mergeCell ref="H142:M142"/>
  </mergeCells>
  <conditionalFormatting sqref="O15:Q19">
    <cfRule type="expression" dxfId="23" priority="1">
      <formula>IF(ISBLANK($R$14),true,false)</formula>
    </cfRule>
  </conditionalFormatting>
  <conditionalFormatting sqref="O15:Q19">
    <cfRule type="expression" dxfId="23" priority="2">
      <formula>IF( $P$13, true, false)</formula>
    </cfRule>
  </conditionalFormatting>
  <conditionalFormatting sqref="O15:P17 O22:P24 O29:P31 O36:P38 O43:P45 O50:P52 O57:P59 O64:P66 O71:P73 O78:P80 O85:P87 O92:P94">
    <cfRule type="expression" dxfId="24" priority="3">
      <formula>IF( AND( LT( Q$7, Q16 ), GTE( Q$7, Q15) ), true, false )</formula>
    </cfRule>
  </conditionalFormatting>
  <conditionalFormatting sqref="O18:P18 O25:P25 O32:P32 O39:P39 O46:P46 O53:P53 O60:P60 O67:P67 O74:P74 O81:P81 O88:P88 O95:P95">
    <cfRule type="expression" dxfId="24" priority="4">
      <formula>IF( GT( Q$7, Q$6 ), true, false )</formula>
    </cfRule>
  </conditionalFormatting>
  <conditionalFormatting sqref="G20:G201">
    <cfRule type="expression" dxfId="0" priority="5">
      <formula>AND(AND(NOT(ISBLANK(C20)), ISBLANK(G20)), ISBLANK(H20))</formula>
    </cfRule>
  </conditionalFormatting>
  <conditionalFormatting sqref="O7:Q8">
    <cfRule type="expression" dxfId="23" priority="6">
      <formula>IF(ISBLANK($R$6),true,false)</formula>
    </cfRule>
  </conditionalFormatting>
  <conditionalFormatting sqref="O11:Q12">
    <cfRule type="expression" dxfId="23" priority="7">
      <formula>IF(ISBLANK($R$10),true,false)</formula>
    </cfRule>
  </conditionalFormatting>
  <conditionalFormatting sqref="O3:Q4 O7 O11">
    <cfRule type="expression" dxfId="23" priority="8">
      <formula>IF(ISBLANK($R$2),true,false)</formula>
    </cfRule>
  </conditionalFormatting>
  <conditionalFormatting sqref="O2:Q2">
    <cfRule type="expression" dxfId="25" priority="9">
      <formula>IF(ISBLANK($R$2),true,false)</formula>
    </cfRule>
  </conditionalFormatting>
  <conditionalFormatting sqref="O6:Q6">
    <cfRule type="expression" dxfId="25" priority="10">
      <formula>IF(ISBLANK($R$6),true,false)</formula>
    </cfRule>
  </conditionalFormatting>
  <conditionalFormatting sqref="O10:Q10">
    <cfRule type="expression" dxfId="25" priority="11">
      <formula>IF(ISBLANK($R$10),true,false)</formula>
    </cfRule>
  </conditionalFormatting>
  <conditionalFormatting sqref="O14:Q14">
    <cfRule type="expression" dxfId="25" priority="12">
      <formula>IF(ISBLANK(R14),true,false)</formula>
    </cfRule>
  </conditionalFormatting>
  <conditionalFormatting sqref="O21:Q21">
    <cfRule type="expression" dxfId="25" priority="13">
      <formula>IF(ISBLANK($R$21),true,false)</formula>
    </cfRule>
  </conditionalFormatting>
  <conditionalFormatting sqref="O22:Q26">
    <cfRule type="expression" dxfId="23" priority="14">
      <formula>IF(ISBLANK($R$21),true,false)</formula>
    </cfRule>
  </conditionalFormatting>
  <conditionalFormatting sqref="O28:Q28">
    <cfRule type="expression" dxfId="25" priority="15">
      <formula>IF(ISBLANK($R$28),true,false)</formula>
    </cfRule>
  </conditionalFormatting>
  <conditionalFormatting sqref="O29:Q33">
    <cfRule type="expression" dxfId="23" priority="16">
      <formula>IF(ISBLANK($R$28),true,false)</formula>
    </cfRule>
  </conditionalFormatting>
  <conditionalFormatting sqref="O35:Q35">
    <cfRule type="expression" dxfId="25" priority="17">
      <formula>IF(ISBLANK($R$35),true,false)</formula>
    </cfRule>
  </conditionalFormatting>
  <conditionalFormatting sqref="O36:Q40">
    <cfRule type="expression" dxfId="23" priority="18">
      <formula>IF(ISBLANK($R$35),true,false)</formula>
    </cfRule>
  </conditionalFormatting>
  <conditionalFormatting sqref="O42:Q42">
    <cfRule type="expression" dxfId="25" priority="19">
      <formula>IF(ISBLANK($R$42),true,false)</formula>
    </cfRule>
  </conditionalFormatting>
  <conditionalFormatting sqref="O43:Q47">
    <cfRule type="expression" dxfId="23" priority="20">
      <formula>IF(ISBLANK($R$42),true,false)</formula>
    </cfRule>
  </conditionalFormatting>
  <conditionalFormatting sqref="O49:Q49">
    <cfRule type="expression" dxfId="25" priority="21">
      <formula>IF(ISBLANK($R$49),true,false)</formula>
    </cfRule>
  </conditionalFormatting>
  <conditionalFormatting sqref="O50:Q54">
    <cfRule type="expression" dxfId="23" priority="22">
      <formula>IF(ISBLANK($R$49),true,false)</formula>
    </cfRule>
  </conditionalFormatting>
  <conditionalFormatting sqref="O56:Q56">
    <cfRule type="expression" dxfId="25" priority="23">
      <formula>IF(ISBLANK($R$56),true,false)</formula>
    </cfRule>
  </conditionalFormatting>
  <conditionalFormatting sqref="O57:Q61">
    <cfRule type="expression" dxfId="23" priority="24">
      <formula>IF(ISBLANK($R$56),true,false)</formula>
    </cfRule>
  </conditionalFormatting>
  <conditionalFormatting sqref="O63:Q63">
    <cfRule type="expression" dxfId="25" priority="25">
      <formula>IF(ISBLANK($R$63),true,false)</formula>
    </cfRule>
  </conditionalFormatting>
  <conditionalFormatting sqref="O64:Q68">
    <cfRule type="expression" dxfId="23" priority="26">
      <formula>IF(ISBLANK($R$63),true,false)</formula>
    </cfRule>
  </conditionalFormatting>
  <conditionalFormatting sqref="O70:Q70">
    <cfRule type="expression" dxfId="25" priority="27">
      <formula>IF(ISBLANK($R$70),true,false)</formula>
    </cfRule>
  </conditionalFormatting>
  <conditionalFormatting sqref="O71:Q75">
    <cfRule type="expression" dxfId="23" priority="28">
      <formula>IF(ISBLANK($R$70),true,false)</formula>
    </cfRule>
  </conditionalFormatting>
  <conditionalFormatting sqref="O77:Q77">
    <cfRule type="expression" dxfId="25" priority="29">
      <formula>IF(ISBLANK($R$77),true,false)</formula>
    </cfRule>
  </conditionalFormatting>
  <conditionalFormatting sqref="O78:Q82">
    <cfRule type="expression" dxfId="23" priority="30">
      <formula>IF(ISBLANK($R$77),true,false)</formula>
    </cfRule>
  </conditionalFormatting>
  <conditionalFormatting sqref="O84:Q84">
    <cfRule type="expression" dxfId="25" priority="31">
      <formula>IF(ISBLANK($R$84),true,false)</formula>
    </cfRule>
  </conditionalFormatting>
  <conditionalFormatting sqref="O85:Q89">
    <cfRule type="expression" dxfId="23" priority="32">
      <formula>IF(ISBLANK($R$84),true,false)</formula>
    </cfRule>
  </conditionalFormatting>
  <conditionalFormatting sqref="O91:Q91">
    <cfRule type="expression" dxfId="25" priority="33">
      <formula>IF($P$90, true, false)</formula>
    </cfRule>
  </conditionalFormatting>
  <conditionalFormatting sqref="O91:Q91">
    <cfRule type="expression" dxfId="25" priority="34">
      <formula>IF(ISBLANK($R$91),true,false)</formula>
    </cfRule>
  </conditionalFormatting>
  <conditionalFormatting sqref="O92:Q96">
    <cfRule type="expression" dxfId="23" priority="35">
      <formula>IF(ISBLANK($R$91),true,false)</formula>
    </cfRule>
  </conditionalFormatting>
  <conditionalFormatting sqref="O3 O7 O11">
    <cfRule type="expression" dxfId="24" priority="36">
      <formula>IF( GT(Q4,Q3), true, false)</formula>
    </cfRule>
  </conditionalFormatting>
  <conditionalFormatting sqref="O14:Q14">
    <cfRule type="expression" dxfId="25" priority="37">
      <formula>IF( $P$13, true, false)</formula>
    </cfRule>
  </conditionalFormatting>
  <conditionalFormatting sqref="O21:Q21">
    <cfRule type="expression" dxfId="25" priority="38">
      <formula>IF($P$20, true, false)</formula>
    </cfRule>
  </conditionalFormatting>
  <conditionalFormatting sqref="O22:Q26">
    <cfRule type="expression" dxfId="23" priority="39">
      <formula>IF($P$20, true, false)</formula>
    </cfRule>
  </conditionalFormatting>
  <conditionalFormatting sqref="O28:Q28">
    <cfRule type="expression" dxfId="25" priority="40">
      <formula>IF($P$27, true, false)</formula>
    </cfRule>
  </conditionalFormatting>
  <conditionalFormatting sqref="O29:Q33">
    <cfRule type="expression" dxfId="23" priority="41">
      <formula>IF($P$27, true, false)</formula>
    </cfRule>
  </conditionalFormatting>
  <conditionalFormatting sqref="O35:Q35">
    <cfRule type="expression" dxfId="25" priority="42">
      <formula>IF($P$34, true, false)</formula>
    </cfRule>
  </conditionalFormatting>
  <conditionalFormatting sqref="O36:Q40">
    <cfRule type="expression" dxfId="23" priority="43">
      <formula>IF($P$34, true, false)</formula>
    </cfRule>
  </conditionalFormatting>
  <conditionalFormatting sqref="O42:Q42">
    <cfRule type="expression" dxfId="25" priority="44">
      <formula>IF($P$42, true, false)</formula>
    </cfRule>
  </conditionalFormatting>
  <conditionalFormatting sqref="O43:Q47">
    <cfRule type="expression" dxfId="23" priority="45">
      <formula>IF($P$42, true, false)</formula>
    </cfRule>
  </conditionalFormatting>
  <conditionalFormatting sqref="O49:Q49">
    <cfRule type="expression" dxfId="25" priority="46">
      <formula>IF($P$48, true, false)</formula>
    </cfRule>
  </conditionalFormatting>
  <conditionalFormatting sqref="O50:Q54">
    <cfRule type="expression" dxfId="23" priority="47">
      <formula>IF($P$48, true, false)</formula>
    </cfRule>
  </conditionalFormatting>
  <conditionalFormatting sqref="O56:Q56">
    <cfRule type="expression" dxfId="25" priority="48">
      <formula>IF($P$55, true, false)</formula>
    </cfRule>
  </conditionalFormatting>
  <conditionalFormatting sqref="O57:Q61">
    <cfRule type="expression" dxfId="23" priority="49">
      <formula>IF($P$55, true, false)</formula>
    </cfRule>
  </conditionalFormatting>
  <conditionalFormatting sqref="O63:Q63">
    <cfRule type="expression" dxfId="25" priority="50">
      <formula>IF($P$62, true, false)</formula>
    </cfRule>
  </conditionalFormatting>
  <conditionalFormatting sqref="O64:Q68">
    <cfRule type="expression" dxfId="23" priority="51">
      <formula>IF($P$62, true, false)</formula>
    </cfRule>
  </conditionalFormatting>
  <conditionalFormatting sqref="O70:Q70">
    <cfRule type="expression" dxfId="25" priority="52">
      <formula>IF($P$69, true, false)</formula>
    </cfRule>
  </conditionalFormatting>
  <conditionalFormatting sqref="O71:Q75">
    <cfRule type="expression" dxfId="23" priority="53">
      <formula>IF($P$69, true, false)</formula>
    </cfRule>
  </conditionalFormatting>
  <conditionalFormatting sqref="O77:Q77">
    <cfRule type="expression" dxfId="25" priority="54">
      <formula>IF($P$76, true, false)</formula>
    </cfRule>
  </conditionalFormatting>
  <conditionalFormatting sqref="O78:Q82">
    <cfRule type="expression" dxfId="23" priority="55">
      <formula>IF($P$76, true, false)</formula>
    </cfRule>
  </conditionalFormatting>
  <conditionalFormatting sqref="O84:Q84">
    <cfRule type="expression" dxfId="25" priority="56">
      <formula>IF($P$83, true, false)</formula>
    </cfRule>
  </conditionalFormatting>
  <conditionalFormatting sqref="O85:Q89">
    <cfRule type="expression" dxfId="23" priority="57">
      <formula>IF($P$83, true, false)</formula>
    </cfRule>
  </conditionalFormatting>
  <conditionalFormatting sqref="O92:Q96">
    <cfRule type="expression" dxfId="23" priority="58">
      <formula>IF($P$90, true, false)</formula>
    </cfRule>
  </conditionalFormatting>
  <conditionalFormatting sqref="M2">
    <cfRule type="notContainsBlanks" dxfId="26" priority="59">
      <formula>LEN(TRIM(M2))&gt;0</formula>
    </cfRule>
  </conditionalFormatting>
  <dataValidations>
    <dataValidation type="list" allowBlank="1" showInputMessage="1" showErrorMessage="1" prompt="Every item must have a storage location." sqref="G20:G201">
      <formula1>PartyStorageSingle</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Ch1_Name</f>
        <v/>
      </c>
      <c r="B1" s="437"/>
      <c r="C1" s="438"/>
      <c r="D1" s="438"/>
      <c r="E1" s="248" t="s">
        <v>62</v>
      </c>
      <c r="F1" s="438"/>
      <c r="G1" s="439"/>
      <c r="H1" s="439"/>
      <c r="I1" s="440" t="s">
        <v>63</v>
      </c>
      <c r="J1" s="426"/>
      <c r="K1" s="439"/>
      <c r="L1" s="439"/>
      <c r="M1" s="439"/>
      <c r="N1" s="287"/>
      <c r="O1" s="439"/>
      <c r="P1" s="439"/>
      <c r="Q1" s="439"/>
      <c r="R1" s="439"/>
      <c r="S1" s="439"/>
      <c r="T1" s="439"/>
      <c r="U1" s="439"/>
      <c r="V1" s="439"/>
      <c r="W1" s="439"/>
      <c r="X1" s="439"/>
      <c r="Y1" s="439"/>
      <c r="Z1" s="439"/>
      <c r="AA1" s="439"/>
      <c r="AB1" s="439"/>
    </row>
    <row r="2" ht="18.75" customHeight="1">
      <c r="A2" s="441" t="str">
        <f>IF(ISBLANK(Ch1_Size),"",VLOOKUP(Ch1_Size,SizeMultipliers,2, FALSE))</f>
        <v/>
      </c>
      <c r="B2" s="442" t="s">
        <v>64</v>
      </c>
      <c r="C2" s="19"/>
      <c r="D2" s="20"/>
      <c r="E2" s="443" t="str">
        <f>IMAGE(E1,1)</f>
        <v/>
      </c>
      <c r="G2" s="444" t="s">
        <v>65</v>
      </c>
      <c r="H2" s="445"/>
      <c r="I2" s="446" t="str">
        <f>IMAGE(I1,1)</f>
        <v/>
      </c>
      <c r="K2" s="442" t="str">
        <f>IF(ISBLANK(Ch1_MountName),"Mount",Ch1_MountName)&amp;"'s Encumbrance"</f>
        <v>Mount's Encumbrance</v>
      </c>
      <c r="L2" s="19"/>
      <c r="M2" s="20"/>
      <c r="N2" s="447" t="str">
        <f>IF(ISBLANK(Ch1_MountSize),"",VLOOKUP(Ch1_MountSize,SizeMultipliers,2, FALSE))</f>
        <v/>
      </c>
    </row>
    <row r="3" ht="18.75" customHeight="1">
      <c r="A3" s="364"/>
      <c r="B3" s="352" t="s">
        <v>53</v>
      </c>
      <c r="C3" s="353"/>
      <c r="D3" s="448">
        <f>Ch1_Str*Ch1_SizeMultiplier*5</f>
        <v>0</v>
      </c>
      <c r="G3" s="449" t="s">
        <v>66</v>
      </c>
      <c r="H3" s="450"/>
      <c r="K3" s="352" t="s">
        <v>53</v>
      </c>
      <c r="L3" s="353"/>
      <c r="M3" s="448">
        <f>Ch1_MountStr*Ch1_MountSizeMult*5</f>
        <v>0</v>
      </c>
      <c r="N3" s="346"/>
    </row>
    <row r="4" ht="18.75" customHeight="1">
      <c r="A4" s="364"/>
      <c r="B4" s="451" t="s">
        <v>55</v>
      </c>
      <c r="C4" s="452"/>
      <c r="D4" s="453">
        <f>Ch1_Str*Ch1_SizeMultiplier*10</f>
        <v>0</v>
      </c>
      <c r="G4" s="454" t="s">
        <v>67</v>
      </c>
      <c r="H4" s="450">
        <f>(VLOOKUP(ADD(Ch1_Level,1),XPTable_v,2))-Ch1_XP</f>
        <v>300</v>
      </c>
      <c r="K4" s="451" t="s">
        <v>55</v>
      </c>
      <c r="L4" s="452"/>
      <c r="M4" s="453">
        <f>Ch1_MountStr*Ch1_MountSizeMult*10</f>
        <v>0</v>
      </c>
      <c r="N4" s="346"/>
    </row>
    <row r="5" ht="18.75" customHeight="1">
      <c r="A5" s="364"/>
      <c r="B5" s="352" t="s">
        <v>17</v>
      </c>
      <c r="C5" s="353"/>
      <c r="D5" s="448">
        <f>Ch1_Str*Ch1_SizeMultiplier*15</f>
        <v>0</v>
      </c>
      <c r="G5" s="455" t="s">
        <v>68</v>
      </c>
      <c r="H5" s="456">
        <f>MATCH(Ch1_XP,XPTable_m,2)</f>
        <v>1</v>
      </c>
      <c r="K5" s="352" t="s">
        <v>17</v>
      </c>
      <c r="L5" s="353"/>
      <c r="M5" s="448">
        <f>Ch1_MountStr*Ch1_MountSizeMult*15</f>
        <v>0</v>
      </c>
      <c r="N5" s="346"/>
    </row>
    <row r="6" ht="18.75" customHeight="1">
      <c r="A6" s="364"/>
      <c r="B6" s="451" t="s">
        <v>57</v>
      </c>
      <c r="C6" s="452"/>
      <c r="D6" s="453">
        <f>Ch1_Str*Ch1_SizeMultiplier*30</f>
        <v>0</v>
      </c>
      <c r="G6" s="17"/>
      <c r="H6" s="17"/>
      <c r="K6" s="451" t="s">
        <v>57</v>
      </c>
      <c r="L6" s="452"/>
      <c r="M6" s="453">
        <f>Ch1_MountStr*Ch1_MountSizeMult*30</f>
        <v>0</v>
      </c>
      <c r="N6" s="346"/>
    </row>
    <row r="7" ht="18.75" customHeight="1">
      <c r="A7" s="364"/>
      <c r="B7" s="457" t="s">
        <v>43</v>
      </c>
      <c r="C7" s="458"/>
      <c r="D7" s="459">
        <f t="array" ref="D7">SUMIF(Ch1_EquipStatus,"=On Character",Ch1_InventoryWeights)</f>
        <v>0</v>
      </c>
      <c r="G7" s="460" t="s">
        <v>30</v>
      </c>
      <c r="H7" s="461">
        <f>SUM(G11:G15,G19:G24)</f>
        <v>0</v>
      </c>
      <c r="K7" s="369" t="s">
        <v>43</v>
      </c>
      <c r="L7" s="458"/>
      <c r="M7" s="462">
        <f t="array" ref="M7">SUMIF(Ch1_EquipStatus,"=On Mount",Ch1_InventoryWeights)+IF( NOT(EQ(N2,"")),D7+Ch1_Weight,0)</f>
        <v>0</v>
      </c>
      <c r="N7" s="346"/>
    </row>
    <row r="8" ht="7.5" customHeight="1">
      <c r="A8" s="364"/>
      <c r="B8" s="463"/>
      <c r="C8" s="464"/>
      <c r="D8" s="465"/>
      <c r="E8" s="464"/>
      <c r="F8" s="464"/>
      <c r="G8" s="464"/>
      <c r="H8" s="464"/>
      <c r="I8" s="466"/>
      <c r="J8" s="467"/>
      <c r="K8" s="467"/>
      <c r="L8" s="467"/>
      <c r="M8" s="467"/>
      <c r="N8" s="346"/>
    </row>
    <row r="9" ht="18.75" customHeight="1">
      <c r="A9" s="364"/>
      <c r="B9" s="442" t="s">
        <v>28</v>
      </c>
      <c r="C9" s="468"/>
      <c r="D9" s="469" t="s">
        <v>29</v>
      </c>
      <c r="E9" s="470"/>
      <c r="F9" s="470"/>
      <c r="G9" s="470"/>
      <c r="H9" s="470"/>
      <c r="I9" s="471"/>
      <c r="J9" s="472"/>
      <c r="K9" s="472"/>
      <c r="L9" s="472"/>
      <c r="M9" s="473"/>
      <c r="N9" s="346"/>
    </row>
    <row r="10" ht="18.75" customHeight="1">
      <c r="A10" s="364"/>
      <c r="B10" s="474" t="s">
        <v>31</v>
      </c>
      <c r="C10" s="475" t="s">
        <v>11</v>
      </c>
      <c r="D10" s="475" t="s">
        <v>32</v>
      </c>
      <c r="E10" s="475" t="s">
        <v>33</v>
      </c>
      <c r="F10" s="475" t="s">
        <v>34</v>
      </c>
      <c r="G10" s="475" t="s">
        <v>35</v>
      </c>
      <c r="H10" s="475" t="s">
        <v>36</v>
      </c>
      <c r="I10" s="475" t="s">
        <v>37</v>
      </c>
      <c r="J10" s="475" t="s">
        <v>38</v>
      </c>
      <c r="K10" s="475" t="s">
        <v>39</v>
      </c>
      <c r="L10" s="475" t="s">
        <v>40</v>
      </c>
      <c r="M10" s="476" t="s">
        <v>41</v>
      </c>
      <c r="N10" s="447"/>
    </row>
    <row r="11" ht="18.75" customHeight="1">
      <c r="A11" s="364"/>
      <c r="B11" s="477"/>
      <c r="C11" s="478" t="s">
        <v>42</v>
      </c>
      <c r="D11" s="479" t="str">
        <f>B11</f>
        <v/>
      </c>
      <c r="E11" s="479">
        <f>B11/10</f>
        <v>0</v>
      </c>
      <c r="F11" s="479">
        <f>B11/50</f>
        <v>0</v>
      </c>
      <c r="G11" s="479">
        <f>B11/100</f>
        <v>0</v>
      </c>
      <c r="H11" s="479">
        <f>B11/1000</f>
        <v>0</v>
      </c>
      <c r="I11" s="480">
        <f>B11/5000</f>
        <v>0</v>
      </c>
      <c r="J11" s="481">
        <f>B11/10000</f>
        <v>0</v>
      </c>
      <c r="K11" s="481">
        <f>B11/50000</f>
        <v>0</v>
      </c>
      <c r="L11" s="481">
        <f>B11/100000</f>
        <v>0</v>
      </c>
      <c r="M11" s="482">
        <f>B11/500000</f>
        <v>0</v>
      </c>
      <c r="N11" s="346"/>
    </row>
    <row r="12" ht="18.75" customHeight="1">
      <c r="A12" s="364"/>
      <c r="B12" s="483"/>
      <c r="C12" s="484" t="s">
        <v>44</v>
      </c>
      <c r="D12" s="485">
        <f>B12*10</f>
        <v>0</v>
      </c>
      <c r="E12" s="485" t="str">
        <f>B12</f>
        <v/>
      </c>
      <c r="F12" s="485">
        <f>B12/5</f>
        <v>0</v>
      </c>
      <c r="G12" s="485">
        <f>B12/10</f>
        <v>0</v>
      </c>
      <c r="H12" s="485">
        <f>B12/100</f>
        <v>0</v>
      </c>
      <c r="I12" s="485">
        <f>B12/500</f>
        <v>0</v>
      </c>
      <c r="J12" s="485">
        <f>B12/1000</f>
        <v>0</v>
      </c>
      <c r="K12" s="485">
        <f>B12/5000</f>
        <v>0</v>
      </c>
      <c r="L12" s="485">
        <f>B12/10000</f>
        <v>0</v>
      </c>
      <c r="M12" s="486">
        <f>B12/50000</f>
        <v>0</v>
      </c>
      <c r="N12" s="346"/>
    </row>
    <row r="13" ht="18.75" customHeight="1">
      <c r="A13" s="364"/>
      <c r="B13" s="477"/>
      <c r="C13" s="478" t="s">
        <v>45</v>
      </c>
      <c r="D13" s="479">
        <f>B13*50</f>
        <v>0</v>
      </c>
      <c r="E13" s="479">
        <f>B13*5</f>
        <v>0</v>
      </c>
      <c r="F13" s="479" t="str">
        <f>B13</f>
        <v/>
      </c>
      <c r="G13" s="479">
        <f>B13/2</f>
        <v>0</v>
      </c>
      <c r="H13" s="479">
        <f>B13/20</f>
        <v>0</v>
      </c>
      <c r="I13" s="479">
        <f>B13/100</f>
        <v>0</v>
      </c>
      <c r="J13" s="481">
        <f>B13/200</f>
        <v>0</v>
      </c>
      <c r="K13" s="481">
        <f>B13/1000</f>
        <v>0</v>
      </c>
      <c r="L13" s="481">
        <f>B13/2000</f>
        <v>0</v>
      </c>
      <c r="M13" s="482">
        <f>B13/10000</f>
        <v>0</v>
      </c>
      <c r="N13" s="346"/>
    </row>
    <row r="14" ht="18.75" customHeight="1">
      <c r="A14" s="364"/>
      <c r="B14" s="483"/>
      <c r="C14" s="484" t="s">
        <v>46</v>
      </c>
      <c r="D14" s="485">
        <f>B14*100</f>
        <v>0</v>
      </c>
      <c r="E14" s="485">
        <f>B14*10</f>
        <v>0</v>
      </c>
      <c r="F14" s="485">
        <f>B14*2</f>
        <v>0</v>
      </c>
      <c r="G14" s="485" t="str">
        <f>B14</f>
        <v/>
      </c>
      <c r="H14" s="485">
        <f>B14/10</f>
        <v>0</v>
      </c>
      <c r="I14" s="485">
        <f>B14/50</f>
        <v>0</v>
      </c>
      <c r="J14" s="487">
        <f>B14/100</f>
        <v>0</v>
      </c>
      <c r="K14" s="487">
        <f>B14/500</f>
        <v>0</v>
      </c>
      <c r="L14" s="487">
        <f>B14/1000</f>
        <v>0</v>
      </c>
      <c r="M14" s="488">
        <f>B14/5000</f>
        <v>0</v>
      </c>
      <c r="N14" s="346"/>
    </row>
    <row r="15" ht="18.75" customHeight="1">
      <c r="A15" s="364"/>
      <c r="B15" s="489"/>
      <c r="C15" s="490" t="s">
        <v>47</v>
      </c>
      <c r="D15" s="491">
        <f>B15*1000</f>
        <v>0</v>
      </c>
      <c r="E15" s="491">
        <f>B15*100</f>
        <v>0</v>
      </c>
      <c r="F15" s="491">
        <f>B15*20</f>
        <v>0</v>
      </c>
      <c r="G15" s="491">
        <f>B15*10</f>
        <v>0</v>
      </c>
      <c r="H15" s="491">
        <f>B15*1</f>
        <v>0</v>
      </c>
      <c r="I15" s="491">
        <f>B15/5</f>
        <v>0</v>
      </c>
      <c r="J15" s="492">
        <f>B15/10</f>
        <v>0</v>
      </c>
      <c r="K15" s="492">
        <f>B15/50</f>
        <v>0</v>
      </c>
      <c r="L15" s="492">
        <f>B15/100</f>
        <v>0</v>
      </c>
      <c r="M15" s="493">
        <f>B15/500</f>
        <v>0</v>
      </c>
      <c r="N15" s="346"/>
    </row>
    <row r="16" ht="7.5" customHeight="1">
      <c r="A16" s="364"/>
      <c r="B16" s="338"/>
      <c r="C16" s="339"/>
      <c r="D16" s="339"/>
      <c r="E16" s="339"/>
      <c r="F16" s="339"/>
      <c r="G16" s="339"/>
      <c r="H16" s="339"/>
      <c r="I16" s="339"/>
      <c r="J16" s="340"/>
      <c r="K16" s="340"/>
      <c r="L16" s="340"/>
      <c r="M16" s="340"/>
      <c r="N16" s="341"/>
      <c r="O16" s="114"/>
      <c r="P16" s="114"/>
      <c r="Q16" s="114"/>
      <c r="R16" s="114"/>
      <c r="S16" s="114"/>
      <c r="T16" s="114"/>
      <c r="U16" s="114"/>
      <c r="V16" s="114"/>
      <c r="W16" s="114"/>
      <c r="X16" s="114"/>
      <c r="Y16" s="114"/>
      <c r="Z16" s="114"/>
      <c r="AA16" s="114"/>
      <c r="AB16" s="114"/>
    </row>
    <row r="17" ht="18.75" customHeight="1">
      <c r="A17" s="364"/>
      <c r="B17" s="442" t="s">
        <v>48</v>
      </c>
      <c r="C17" s="468"/>
      <c r="D17" s="469" t="s">
        <v>29</v>
      </c>
      <c r="E17" s="494"/>
      <c r="F17" s="495"/>
      <c r="G17" s="495"/>
      <c r="H17" s="495"/>
      <c r="I17" s="495"/>
      <c r="J17" s="496"/>
      <c r="K17" s="496"/>
      <c r="L17" s="496"/>
      <c r="M17" s="497"/>
      <c r="N17" s="346"/>
    </row>
    <row r="18" ht="18.75" customHeight="1">
      <c r="A18" s="364"/>
      <c r="B18" s="474" t="s">
        <v>31</v>
      </c>
      <c r="C18" s="475" t="s">
        <v>11</v>
      </c>
      <c r="D18" s="475" t="s">
        <v>32</v>
      </c>
      <c r="E18" s="475" t="s">
        <v>33</v>
      </c>
      <c r="F18" s="475" t="s">
        <v>34</v>
      </c>
      <c r="G18" s="475" t="s">
        <v>35</v>
      </c>
      <c r="H18" s="475" t="s">
        <v>36</v>
      </c>
      <c r="I18" s="475" t="s">
        <v>37</v>
      </c>
      <c r="J18" s="475" t="s">
        <v>38</v>
      </c>
      <c r="K18" s="475" t="s">
        <v>39</v>
      </c>
      <c r="L18" s="475" t="s">
        <v>40</v>
      </c>
      <c r="M18" s="476" t="s">
        <v>41</v>
      </c>
      <c r="N18" s="346"/>
    </row>
    <row r="19" ht="18.75" customHeight="1">
      <c r="A19" s="364"/>
      <c r="B19" s="477"/>
      <c r="C19" s="478" t="s">
        <v>49</v>
      </c>
      <c r="D19" s="479">
        <f>B19*1000</f>
        <v>0</v>
      </c>
      <c r="E19" s="479">
        <f>B19*100</f>
        <v>0</v>
      </c>
      <c r="F19" s="479">
        <f>B19*20</f>
        <v>0</v>
      </c>
      <c r="G19" s="479">
        <f>B19*10</f>
        <v>0</v>
      </c>
      <c r="H19" s="479">
        <f>B19*1</f>
        <v>0</v>
      </c>
      <c r="I19" s="479">
        <f>B19/5</f>
        <v>0</v>
      </c>
      <c r="J19" s="481">
        <f>B19/10</f>
        <v>0</v>
      </c>
      <c r="K19" s="481">
        <f>B19/50</f>
        <v>0</v>
      </c>
      <c r="L19" s="481">
        <f>B19/100</f>
        <v>0</v>
      </c>
      <c r="M19" s="482">
        <f>B19/500</f>
        <v>0</v>
      </c>
      <c r="N19" s="346"/>
    </row>
    <row r="20" ht="18.75" customHeight="1">
      <c r="A20" s="364"/>
      <c r="B20" s="483"/>
      <c r="C20" s="484" t="s">
        <v>50</v>
      </c>
      <c r="D20" s="485">
        <f>B20*5000</f>
        <v>0</v>
      </c>
      <c r="E20" s="485">
        <f>B20*500</f>
        <v>0</v>
      </c>
      <c r="F20" s="485">
        <f>B20*100</f>
        <v>0</v>
      </c>
      <c r="G20" s="485">
        <f>B20*50</f>
        <v>0</v>
      </c>
      <c r="H20" s="485">
        <f>B20*5</f>
        <v>0</v>
      </c>
      <c r="I20" s="485" t="str">
        <f>B20</f>
        <v/>
      </c>
      <c r="J20" s="487">
        <f>B20/2</f>
        <v>0</v>
      </c>
      <c r="K20" s="487">
        <f>B20/10</f>
        <v>0</v>
      </c>
      <c r="L20" s="487">
        <f>B20/20</f>
        <v>0</v>
      </c>
      <c r="M20" s="488">
        <f>B20/100</f>
        <v>0</v>
      </c>
      <c r="N20" s="346"/>
    </row>
    <row r="21" ht="18.75" customHeight="1">
      <c r="A21" s="364"/>
      <c r="B21" s="477"/>
      <c r="C21" s="478" t="s">
        <v>51</v>
      </c>
      <c r="D21" s="479">
        <f>B21*10000</f>
        <v>0</v>
      </c>
      <c r="E21" s="479">
        <f>B21*1000</f>
        <v>0</v>
      </c>
      <c r="F21" s="479">
        <f>B21*200</f>
        <v>0</v>
      </c>
      <c r="G21" s="479">
        <f>B21*100</f>
        <v>0</v>
      </c>
      <c r="H21" s="479">
        <f>B21*10</f>
        <v>0</v>
      </c>
      <c r="I21" s="479">
        <f>B21/5*10</f>
        <v>0</v>
      </c>
      <c r="J21" s="481" t="str">
        <f>B21</f>
        <v/>
      </c>
      <c r="K21" s="481">
        <f>B21/5</f>
        <v>0</v>
      </c>
      <c r="L21" s="481">
        <f>B21/10</f>
        <v>0</v>
      </c>
      <c r="M21" s="482">
        <f>B21/50</f>
        <v>0</v>
      </c>
      <c r="N21" s="346"/>
    </row>
    <row r="22" ht="18.75" customHeight="1">
      <c r="A22" s="364"/>
      <c r="B22" s="483"/>
      <c r="C22" s="484" t="s">
        <v>52</v>
      </c>
      <c r="D22" s="485">
        <f>B22*50000</f>
        <v>0</v>
      </c>
      <c r="E22" s="485">
        <f>B22*5000</f>
        <v>0</v>
      </c>
      <c r="F22" s="485">
        <f>B22*1000</f>
        <v>0</v>
      </c>
      <c r="G22" s="485">
        <f>B22*500</f>
        <v>0</v>
      </c>
      <c r="H22" s="485">
        <f>B22*50</f>
        <v>0</v>
      </c>
      <c r="I22" s="485">
        <f>B22*10</f>
        <v>0</v>
      </c>
      <c r="J22" s="487">
        <f>B22/2*10</f>
        <v>0</v>
      </c>
      <c r="K22" s="487" t="str">
        <f>B22</f>
        <v/>
      </c>
      <c r="L22" s="487">
        <f>B22/2</f>
        <v>0</v>
      </c>
      <c r="M22" s="488">
        <f>B22/10</f>
        <v>0</v>
      </c>
      <c r="N22" s="346"/>
    </row>
    <row r="23" ht="18.75" customHeight="1">
      <c r="A23" s="364"/>
      <c r="B23" s="477"/>
      <c r="C23" s="478" t="s">
        <v>54</v>
      </c>
      <c r="D23" s="479">
        <f>B23*100000</f>
        <v>0</v>
      </c>
      <c r="E23" s="479">
        <f>B23*10000</f>
        <v>0</v>
      </c>
      <c r="F23" s="479">
        <f>B23*2000</f>
        <v>0</v>
      </c>
      <c r="G23" s="479">
        <f>B23*1000</f>
        <v>0</v>
      </c>
      <c r="H23" s="479">
        <f>B23*100</f>
        <v>0</v>
      </c>
      <c r="I23" s="479">
        <f>B23/5*100</f>
        <v>0</v>
      </c>
      <c r="J23" s="481">
        <f>B23*10</f>
        <v>0</v>
      </c>
      <c r="K23" s="481">
        <f>B23/5*10</f>
        <v>0</v>
      </c>
      <c r="L23" s="481" t="str">
        <f>B23</f>
        <v/>
      </c>
      <c r="M23" s="482">
        <f>B23/5</f>
        <v>0</v>
      </c>
      <c r="N23" s="346"/>
    </row>
    <row r="24" ht="18.75" customHeight="1">
      <c r="A24" s="364"/>
      <c r="B24" s="498"/>
      <c r="C24" s="499" t="s">
        <v>56</v>
      </c>
      <c r="D24" s="500">
        <f>B24*500000</f>
        <v>0</v>
      </c>
      <c r="E24" s="500">
        <f>B24*50000</f>
        <v>0</v>
      </c>
      <c r="F24" s="500">
        <f>B24*10000</f>
        <v>0</v>
      </c>
      <c r="G24" s="500">
        <f>B24*5000</f>
        <v>0</v>
      </c>
      <c r="H24" s="500">
        <f>B24*500</f>
        <v>0</v>
      </c>
      <c r="I24" s="500">
        <f>B24*100</f>
        <v>0</v>
      </c>
      <c r="J24" s="501">
        <f>B24/2*100</f>
        <v>0</v>
      </c>
      <c r="K24" s="501">
        <f>B24*10</f>
        <v>0</v>
      </c>
      <c r="L24" s="501">
        <f>B24/2*10</f>
        <v>0</v>
      </c>
      <c r="M24" s="502" t="str">
        <f>B24</f>
        <v/>
      </c>
      <c r="N24" s="346"/>
    </row>
    <row r="25" ht="7.5" customHeight="1">
      <c r="A25" s="364"/>
      <c r="B25" s="364"/>
      <c r="C25" s="13"/>
      <c r="D25" s="13"/>
      <c r="E25" s="13"/>
      <c r="F25" s="13"/>
      <c r="G25" s="13"/>
      <c r="H25" s="13"/>
      <c r="I25" s="13"/>
      <c r="J25" s="261"/>
      <c r="K25" s="261"/>
      <c r="L25" s="261"/>
      <c r="M25" s="261"/>
      <c r="N25" s="346"/>
    </row>
    <row r="26" ht="18.75" customHeight="1">
      <c r="A26" s="364"/>
      <c r="B26" s="503" t="s">
        <v>31</v>
      </c>
      <c r="C26" s="504" t="s">
        <v>58</v>
      </c>
      <c r="D26" s="504" t="s">
        <v>59</v>
      </c>
      <c r="E26" s="504" t="s">
        <v>60</v>
      </c>
      <c r="F26" s="504" t="s">
        <v>61</v>
      </c>
      <c r="G26" s="504" t="s">
        <v>69</v>
      </c>
      <c r="H26" s="505" t="s">
        <v>70</v>
      </c>
      <c r="I26" s="506" t="s">
        <v>71</v>
      </c>
      <c r="J26" s="19"/>
      <c r="K26" s="19"/>
      <c r="L26" s="19"/>
      <c r="M26" s="20"/>
      <c r="N26" s="368"/>
    </row>
    <row r="27" ht="18.75" customHeight="1">
      <c r="A27" s="507">
        <f>IFERROR(VLOOKUP(H27,PartyStorage,2, FALSE),0)</f>
        <v>0</v>
      </c>
      <c r="B27" s="508">
        <f>sum(Ch1_Money)</f>
        <v>0</v>
      </c>
      <c r="C27" s="485" t="s">
        <v>28</v>
      </c>
      <c r="D27" s="509">
        <v>0.02</v>
      </c>
      <c r="E27" s="509">
        <f t="shared" ref="E27:E208" si="1">IF(ISBLANK(C27),"",IF(ISBLANK(B27),D27,D27*B27))</f>
        <v>0</v>
      </c>
      <c r="F27" s="487"/>
      <c r="G27" s="510"/>
      <c r="H27" s="510"/>
      <c r="I27" s="511"/>
      <c r="M27" s="378"/>
      <c r="N27" s="346" t="str">
        <f>IFERROR(VLOOKUP(G27,Ch1_Storage,2, FALSE),"")</f>
        <v/>
      </c>
    </row>
    <row r="28" ht="18.75" customHeight="1">
      <c r="A28" s="507">
        <f>IFERROR(VLOOKUP(H28,PartyStorage,2, FALSE),0)</f>
        <v>0</v>
      </c>
      <c r="B28" s="512">
        <f>sum(Ch1_Gems)</f>
        <v>0</v>
      </c>
      <c r="C28" s="479" t="s">
        <v>48</v>
      </c>
      <c r="D28" s="513">
        <v>0.02</v>
      </c>
      <c r="E28" s="513">
        <f t="shared" si="1"/>
        <v>0</v>
      </c>
      <c r="F28" s="481"/>
      <c r="G28" s="514"/>
      <c r="H28" s="515"/>
      <c r="I28" s="516"/>
      <c r="M28" s="517"/>
      <c r="N28" s="346" t="str">
        <f>IFERROR(VLOOKUP(G28,Ch1_Storage,2, FALSE),"")</f>
        <v/>
      </c>
    </row>
    <row r="29" ht="18.75" customHeight="1">
      <c r="A29" s="507">
        <f>IFERROR(VLOOKUP(H29,PartyStorage,2, FALSE),0)</f>
        <v>0</v>
      </c>
      <c r="B29" s="508"/>
      <c r="C29" s="485"/>
      <c r="D29" s="509"/>
      <c r="E29" s="509" t="str">
        <f t="shared" si="1"/>
        <v/>
      </c>
      <c r="F29" s="487"/>
      <c r="G29" s="510"/>
      <c r="H29" s="518"/>
      <c r="I29" s="511"/>
      <c r="M29" s="378"/>
      <c r="N29" s="346" t="str">
        <f>IFERROR(VLOOKUP(G29,Ch1_Storage,2, FALSE),"")</f>
        <v/>
      </c>
    </row>
    <row r="30" ht="18.75" customHeight="1">
      <c r="A30" s="507">
        <f>IFERROR(VLOOKUP(H30,PartyStorage,2, FALSE),0)</f>
        <v>0</v>
      </c>
      <c r="B30" s="512"/>
      <c r="C30" s="479"/>
      <c r="D30" s="513"/>
      <c r="E30" s="513" t="str">
        <f t="shared" si="1"/>
        <v/>
      </c>
      <c r="F30" s="481"/>
      <c r="G30" s="514"/>
      <c r="H30" s="515"/>
      <c r="I30" s="516"/>
      <c r="M30" s="517"/>
      <c r="N30" s="346" t="str">
        <f>IFERROR(VLOOKUP(G30,Ch1_Storage,2, FALSE),"")</f>
        <v/>
      </c>
    </row>
    <row r="31" ht="18.75" customHeight="1">
      <c r="A31" s="507">
        <f>IFERROR(VLOOKUP(H31,PartyStorage,2, FALSE),0)</f>
        <v>0</v>
      </c>
      <c r="B31" s="508"/>
      <c r="C31" s="485"/>
      <c r="D31" s="509"/>
      <c r="E31" s="509" t="str">
        <f t="shared" si="1"/>
        <v/>
      </c>
      <c r="F31" s="487"/>
      <c r="G31" s="510"/>
      <c r="H31" s="518"/>
      <c r="I31" s="511"/>
      <c r="M31" s="378"/>
      <c r="N31" s="346" t="str">
        <f>IFERROR(VLOOKUP(G31,Ch1_Storage,2, FALSE),"")</f>
        <v/>
      </c>
    </row>
    <row r="32" ht="18.75" customHeight="1">
      <c r="A32" s="507">
        <f>IFERROR(VLOOKUP(H32,PartyStorage,2, FALSE),0)</f>
        <v>0</v>
      </c>
      <c r="B32" s="512"/>
      <c r="C32" s="479"/>
      <c r="D32" s="513"/>
      <c r="E32" s="513" t="str">
        <f t="shared" si="1"/>
        <v/>
      </c>
      <c r="F32" s="481"/>
      <c r="G32" s="514"/>
      <c r="H32" s="515"/>
      <c r="I32" s="516"/>
      <c r="M32" s="517"/>
      <c r="N32" s="346" t="str">
        <f>IFERROR(VLOOKUP(G32,Ch1_Storage,2, FALSE),"")</f>
        <v/>
      </c>
    </row>
    <row r="33" ht="18.75" customHeight="1">
      <c r="A33" s="507">
        <f>IFERROR(VLOOKUP(H33,PartyStorage,2, FALSE),0)</f>
        <v>0</v>
      </c>
      <c r="B33" s="508"/>
      <c r="C33" s="485"/>
      <c r="D33" s="509"/>
      <c r="E33" s="509" t="str">
        <f t="shared" si="1"/>
        <v/>
      </c>
      <c r="F33" s="487"/>
      <c r="G33" s="510"/>
      <c r="H33" s="518"/>
      <c r="I33" s="511"/>
      <c r="M33" s="378"/>
      <c r="N33" s="346" t="str">
        <f>IFERROR(VLOOKUP(G33,Ch1_Storage,2, FALSE),"")</f>
        <v/>
      </c>
    </row>
    <row r="34" ht="18.75" customHeight="1">
      <c r="A34" s="507">
        <f>IFERROR(VLOOKUP(H34,PartyStorage,2, FALSE),0)</f>
        <v>0</v>
      </c>
      <c r="B34" s="512"/>
      <c r="C34" s="479"/>
      <c r="D34" s="513"/>
      <c r="E34" s="513" t="str">
        <f t="shared" si="1"/>
        <v/>
      </c>
      <c r="F34" s="481"/>
      <c r="G34" s="514"/>
      <c r="H34" s="515"/>
      <c r="I34" s="516"/>
      <c r="M34" s="517"/>
      <c r="N34" s="346" t="str">
        <f>IFERROR(VLOOKUP(G34,Ch1_Storage,2, FALSE),"")</f>
        <v/>
      </c>
    </row>
    <row r="35" ht="18.75" customHeight="1">
      <c r="A35" s="507">
        <f>IFERROR(VLOOKUP(H35,PartyStorage,2, FALSE),0)</f>
        <v>0</v>
      </c>
      <c r="B35" s="508"/>
      <c r="C35" s="485"/>
      <c r="D35" s="509"/>
      <c r="E35" s="509" t="str">
        <f t="shared" si="1"/>
        <v/>
      </c>
      <c r="F35" s="487"/>
      <c r="G35" s="510"/>
      <c r="H35" s="518"/>
      <c r="I35" s="511"/>
      <c r="M35" s="378"/>
      <c r="N35" s="346" t="str">
        <f>IFERROR(VLOOKUP(G35,Ch1_Storage,2, FALSE),"")</f>
        <v/>
      </c>
    </row>
    <row r="36" ht="18.75" customHeight="1">
      <c r="A36" s="507">
        <f>IFERROR(VLOOKUP(H36,PartyStorage,2, FALSE),0)</f>
        <v>0</v>
      </c>
      <c r="B36" s="512"/>
      <c r="C36" s="479"/>
      <c r="D36" s="519"/>
      <c r="E36" s="513" t="str">
        <f t="shared" si="1"/>
        <v/>
      </c>
      <c r="F36" s="481"/>
      <c r="G36" s="514"/>
      <c r="H36" s="515"/>
      <c r="I36" s="516"/>
      <c r="M36" s="517"/>
      <c r="N36" s="346" t="str">
        <f>IFERROR(VLOOKUP(G36,Ch1_Storage,2, FALSE),"")</f>
        <v/>
      </c>
    </row>
    <row r="37" ht="18.75" customHeight="1">
      <c r="A37" s="507">
        <f>IFERROR(VLOOKUP(H37,PartyStorage,2, FALSE),0)</f>
        <v>0</v>
      </c>
      <c r="B37" s="508"/>
      <c r="C37" s="485"/>
      <c r="D37" s="509"/>
      <c r="E37" s="509" t="str">
        <f t="shared" si="1"/>
        <v/>
      </c>
      <c r="F37" s="487"/>
      <c r="G37" s="510"/>
      <c r="H37" s="518"/>
      <c r="I37" s="511"/>
      <c r="M37" s="378"/>
      <c r="N37" s="346" t="str">
        <f>IFERROR(VLOOKUP(G37,Ch1_Storage,2, FALSE),"")</f>
        <v/>
      </c>
    </row>
    <row r="38" ht="18.75" customHeight="1">
      <c r="A38" s="507">
        <f>IFERROR(VLOOKUP(H38,PartyStorage,2, FALSE),0)</f>
        <v>0</v>
      </c>
      <c r="B38" s="512"/>
      <c r="C38" s="479"/>
      <c r="D38" s="513"/>
      <c r="E38" s="513" t="str">
        <f t="shared" si="1"/>
        <v/>
      </c>
      <c r="F38" s="481"/>
      <c r="G38" s="514"/>
      <c r="H38" s="515"/>
      <c r="I38" s="520"/>
      <c r="M38" s="517"/>
      <c r="N38" s="346" t="str">
        <f>IFERROR(VLOOKUP(G38,Ch1_Storage,2, FALSE),"")</f>
        <v/>
      </c>
    </row>
    <row r="39" ht="18.75" customHeight="1">
      <c r="A39" s="507">
        <f>IFERROR(VLOOKUP(H39,PartyStorage,2, FALSE),0)</f>
        <v>0</v>
      </c>
      <c r="B39" s="508"/>
      <c r="C39" s="485"/>
      <c r="D39" s="521"/>
      <c r="E39" s="509" t="str">
        <f t="shared" si="1"/>
        <v/>
      </c>
      <c r="F39" s="487"/>
      <c r="G39" s="510"/>
      <c r="H39" s="518"/>
      <c r="I39" s="511"/>
      <c r="M39" s="378"/>
      <c r="N39" s="346" t="str">
        <f>IFERROR(VLOOKUP(G39,Ch1_Storage,2, FALSE),"")</f>
        <v/>
      </c>
    </row>
    <row r="40" ht="18.75" customHeight="1">
      <c r="A40" s="507">
        <f>IFERROR(VLOOKUP(H40,PartyStorage,2, FALSE),0)</f>
        <v>0</v>
      </c>
      <c r="B40" s="512"/>
      <c r="C40" s="479"/>
      <c r="D40" s="513"/>
      <c r="E40" s="513" t="str">
        <f t="shared" si="1"/>
        <v/>
      </c>
      <c r="F40" s="481"/>
      <c r="G40" s="514"/>
      <c r="H40" s="515"/>
      <c r="I40" s="516"/>
      <c r="M40" s="517"/>
      <c r="N40" s="346" t="str">
        <f>IFERROR(VLOOKUP(G40,Ch1_Storage,2, FALSE),"")</f>
        <v/>
      </c>
    </row>
    <row r="41" ht="18.75" customHeight="1">
      <c r="A41" s="507">
        <f>IFERROR(VLOOKUP(H41,PartyStorage,2, FALSE),0)</f>
        <v>0</v>
      </c>
      <c r="B41" s="508"/>
      <c r="C41" s="485"/>
      <c r="D41" s="509"/>
      <c r="E41" s="509" t="str">
        <f t="shared" si="1"/>
        <v/>
      </c>
      <c r="F41" s="487"/>
      <c r="G41" s="510"/>
      <c r="H41" s="518"/>
      <c r="I41" s="511"/>
      <c r="M41" s="378"/>
      <c r="N41" s="346" t="str">
        <f>IFERROR(VLOOKUP(G41,Ch1_Storage,2, FALSE),"")</f>
        <v/>
      </c>
    </row>
    <row r="42" ht="18.75" customHeight="1">
      <c r="A42" s="507">
        <f>IFERROR(VLOOKUP(H42,PartyStorage,2, FALSE),0)</f>
        <v>0</v>
      </c>
      <c r="B42" s="512"/>
      <c r="C42" s="479"/>
      <c r="D42" s="513"/>
      <c r="E42" s="513" t="str">
        <f t="shared" si="1"/>
        <v/>
      </c>
      <c r="F42" s="481"/>
      <c r="G42" s="514"/>
      <c r="H42" s="515"/>
      <c r="I42" s="516"/>
      <c r="M42" s="517"/>
      <c r="N42" s="346" t="str">
        <f>IFERROR(VLOOKUP(G42,Ch1_Storage,2, FALSE),"")</f>
        <v/>
      </c>
    </row>
    <row r="43" ht="18.75" customHeight="1">
      <c r="A43" s="507">
        <f>IFERROR(VLOOKUP(H43,PartyStorage,2, FALSE),0)</f>
        <v>0</v>
      </c>
      <c r="B43" s="508"/>
      <c r="C43" s="485"/>
      <c r="D43" s="509"/>
      <c r="E43" s="509" t="str">
        <f t="shared" si="1"/>
        <v/>
      </c>
      <c r="F43" s="487"/>
      <c r="G43" s="510"/>
      <c r="H43" s="518"/>
      <c r="I43" s="522"/>
      <c r="M43" s="378"/>
      <c r="N43" s="346" t="str">
        <f>IFERROR(VLOOKUP(G43,Ch1_Storage,2, FALSE),"")</f>
        <v/>
      </c>
    </row>
    <row r="44" ht="18.75" customHeight="1">
      <c r="A44" s="507">
        <f>IFERROR(VLOOKUP(H44,PartyStorage,2, FALSE),0)</f>
        <v>0</v>
      </c>
      <c r="B44" s="512"/>
      <c r="C44" s="479"/>
      <c r="D44" s="519"/>
      <c r="E44" s="513" t="str">
        <f t="shared" si="1"/>
        <v/>
      </c>
      <c r="F44" s="481"/>
      <c r="G44" s="514"/>
      <c r="H44" s="515"/>
      <c r="I44" s="516"/>
      <c r="M44" s="517"/>
      <c r="N44" s="346" t="str">
        <f>IFERROR(VLOOKUP(G44,Ch1_Storage,2, FALSE),"")</f>
        <v/>
      </c>
    </row>
    <row r="45" ht="18.75" customHeight="1">
      <c r="A45" s="507">
        <f>IFERROR(VLOOKUP(H45,PartyStorage,2, FALSE),0)</f>
        <v>0</v>
      </c>
      <c r="B45" s="508"/>
      <c r="C45" s="485"/>
      <c r="D45" s="521"/>
      <c r="E45" s="509" t="str">
        <f t="shared" si="1"/>
        <v/>
      </c>
      <c r="F45" s="487"/>
      <c r="G45" s="510"/>
      <c r="H45" s="518"/>
      <c r="N45" s="346" t="str">
        <f>IFERROR(VLOOKUP(G45,Ch1_Storage,2, FALSE),"")</f>
        <v/>
      </c>
    </row>
    <row r="46" ht="18.75" customHeight="1">
      <c r="A46" s="507">
        <f>IFERROR(VLOOKUP(H46,PartyStorage,2, FALSE),0)</f>
        <v>0</v>
      </c>
      <c r="B46" s="512"/>
      <c r="C46" s="479"/>
      <c r="D46" s="519"/>
      <c r="E46" s="513" t="str">
        <f t="shared" si="1"/>
        <v/>
      </c>
      <c r="F46" s="481"/>
      <c r="G46" s="514"/>
      <c r="H46" s="515"/>
      <c r="I46" s="516"/>
      <c r="M46" s="517"/>
      <c r="N46" s="346" t="str">
        <f>IFERROR(VLOOKUP(G46,Ch1_Storage,2, FALSE),"")</f>
        <v/>
      </c>
    </row>
    <row r="47" ht="18.75" customHeight="1">
      <c r="A47" s="507">
        <f>IFERROR(VLOOKUP(I47,PartyStorage,2, FALSE),0)</f>
        <v>0</v>
      </c>
      <c r="B47" s="523"/>
      <c r="C47" s="524"/>
      <c r="D47" s="525"/>
      <c r="E47" s="509" t="str">
        <f t="shared" si="1"/>
        <v/>
      </c>
      <c r="F47" s="526"/>
      <c r="G47" s="510"/>
      <c r="H47" s="518"/>
      <c r="I47" s="527"/>
      <c r="M47" s="378"/>
      <c r="N47" s="346" t="str">
        <f>IFERROR(VLOOKUP(G47,Ch1_Storage,2, FALSE),"")</f>
        <v/>
      </c>
    </row>
    <row r="48" ht="18.75" customHeight="1">
      <c r="A48" s="507">
        <f>IFERROR(VLOOKUP(H48,PartyStorage,2, FALSE),0)</f>
        <v>0</v>
      </c>
      <c r="B48" s="528"/>
      <c r="C48" s="529"/>
      <c r="D48" s="513"/>
      <c r="E48" s="513" t="str">
        <f t="shared" si="1"/>
        <v/>
      </c>
      <c r="F48" s="481"/>
      <c r="G48" s="514"/>
      <c r="H48" s="530"/>
      <c r="I48" s="520"/>
      <c r="M48" s="517"/>
      <c r="N48" s="346" t="str">
        <f>IFERROR(VLOOKUP(G48,Ch1_Storage,2, FALSE),"")</f>
        <v/>
      </c>
    </row>
    <row r="49" ht="18.75" customHeight="1">
      <c r="A49" s="507">
        <f>IFERROR(VLOOKUP(H49,PartyStorage,2, FALSE),0)</f>
        <v>0</v>
      </c>
      <c r="B49" s="531"/>
      <c r="C49" s="487"/>
      <c r="D49" s="521"/>
      <c r="E49" s="509" t="str">
        <f t="shared" si="1"/>
        <v/>
      </c>
      <c r="F49" s="487"/>
      <c r="G49" s="510"/>
      <c r="H49" s="518"/>
      <c r="I49" s="511"/>
      <c r="M49" s="378"/>
      <c r="N49" s="346" t="str">
        <f>IFERROR(VLOOKUP(G49,Ch1_Storage,2, FALSE),"")</f>
        <v/>
      </c>
    </row>
    <row r="50" ht="18.75" customHeight="1">
      <c r="A50" s="507">
        <f>IFERROR(VLOOKUP(H50,PartyStorage,2, FALSE),0)</f>
        <v>0</v>
      </c>
      <c r="B50" s="532"/>
      <c r="C50" s="481"/>
      <c r="D50" s="519"/>
      <c r="E50" s="513" t="str">
        <f t="shared" si="1"/>
        <v/>
      </c>
      <c r="F50" s="481"/>
      <c r="G50" s="514"/>
      <c r="H50" s="515"/>
      <c r="I50" s="516"/>
      <c r="M50" s="517"/>
      <c r="N50" s="346" t="str">
        <f>IFERROR(VLOOKUP(G50,Ch1_Storage,2, FALSE),"")</f>
        <v/>
      </c>
    </row>
    <row r="51" ht="18.75" customHeight="1">
      <c r="A51" s="507">
        <f>IFERROR(VLOOKUP(H51,PartyStorage,2, FALSE),0)</f>
        <v>0</v>
      </c>
      <c r="B51" s="531"/>
      <c r="C51" s="487"/>
      <c r="D51" s="521"/>
      <c r="E51" s="509" t="str">
        <f t="shared" si="1"/>
        <v/>
      </c>
      <c r="F51" s="487"/>
      <c r="G51" s="510"/>
      <c r="H51" s="518"/>
      <c r="I51" s="511"/>
      <c r="M51" s="378"/>
      <c r="N51" s="346" t="str">
        <f>IFERROR(VLOOKUP(G51,Ch1_Storage,2, FALSE),"")</f>
        <v/>
      </c>
    </row>
    <row r="52" ht="18.75" customHeight="1">
      <c r="A52" s="507">
        <f>IFERROR(VLOOKUP(H52,PartyStorage,2, FALSE),0)</f>
        <v>0</v>
      </c>
      <c r="B52" s="532"/>
      <c r="C52" s="481"/>
      <c r="D52" s="519"/>
      <c r="E52" s="513" t="str">
        <f t="shared" si="1"/>
        <v/>
      </c>
      <c r="F52" s="481"/>
      <c r="G52" s="514"/>
      <c r="H52" s="515"/>
      <c r="I52" s="516"/>
      <c r="M52" s="517"/>
      <c r="N52" s="346" t="str">
        <f>IFERROR(VLOOKUP(G52,Ch1_Storage,2, FALSE),"")</f>
        <v/>
      </c>
    </row>
    <row r="53" ht="18.75" customHeight="1">
      <c r="A53" s="507">
        <f>IFERROR(VLOOKUP(H53,PartyStorage,2, FALSE),0)</f>
        <v>0</v>
      </c>
      <c r="B53" s="531"/>
      <c r="C53" s="487"/>
      <c r="D53" s="521"/>
      <c r="E53" s="509" t="str">
        <f t="shared" si="1"/>
        <v/>
      </c>
      <c r="F53" s="487"/>
      <c r="G53" s="510"/>
      <c r="H53" s="518"/>
      <c r="I53" s="511"/>
      <c r="M53" s="378"/>
      <c r="N53" s="346" t="str">
        <f>IFERROR(VLOOKUP(G53,Ch1_Storage,2, FALSE),"")</f>
        <v/>
      </c>
    </row>
    <row r="54" ht="18.75" customHeight="1">
      <c r="A54" s="507">
        <f>IFERROR(VLOOKUP(H54,PartyStorage,2, FALSE),0)</f>
        <v>0</v>
      </c>
      <c r="B54" s="532"/>
      <c r="C54" s="481"/>
      <c r="D54" s="519"/>
      <c r="E54" s="513" t="str">
        <f t="shared" si="1"/>
        <v/>
      </c>
      <c r="F54" s="481"/>
      <c r="G54" s="514"/>
      <c r="H54" s="515"/>
      <c r="I54" s="516"/>
      <c r="M54" s="517"/>
      <c r="N54" s="346" t="str">
        <f>IFERROR(VLOOKUP(G54,Ch1_Storage,2, FALSE),"")</f>
        <v/>
      </c>
    </row>
    <row r="55" ht="18.75" customHeight="1">
      <c r="A55" s="507">
        <f>IFERROR(VLOOKUP(H55,PartyStorage,2, FALSE),0)</f>
        <v>0</v>
      </c>
      <c r="B55" s="531"/>
      <c r="C55" s="487"/>
      <c r="D55" s="521"/>
      <c r="E55" s="509" t="str">
        <f t="shared" si="1"/>
        <v/>
      </c>
      <c r="F55" s="487"/>
      <c r="G55" s="510"/>
      <c r="H55" s="518"/>
      <c r="I55" s="511"/>
      <c r="M55" s="378"/>
      <c r="N55" s="346" t="str">
        <f>IFERROR(VLOOKUP(G55,Ch1_Storage,2, FALSE),"")</f>
        <v/>
      </c>
    </row>
    <row r="56" ht="18.75" customHeight="1">
      <c r="A56" s="507">
        <f>IFERROR(VLOOKUP(H56,PartyStorage,2, FALSE),0)</f>
        <v>0</v>
      </c>
      <c r="B56" s="532"/>
      <c r="C56" s="481"/>
      <c r="D56" s="519"/>
      <c r="E56" s="513" t="str">
        <f t="shared" si="1"/>
        <v/>
      </c>
      <c r="F56" s="481"/>
      <c r="G56" s="514"/>
      <c r="H56" s="515"/>
      <c r="I56" s="516"/>
      <c r="M56" s="517"/>
      <c r="N56" s="346" t="str">
        <f>IFERROR(VLOOKUP(G56,Ch1_Storage,2, FALSE),"")</f>
        <v/>
      </c>
    </row>
    <row r="57" ht="18.75" customHeight="1">
      <c r="A57" s="507">
        <f>IFERROR(VLOOKUP(H57,PartyStorage,2, FALSE),0)</f>
        <v>0</v>
      </c>
      <c r="B57" s="531"/>
      <c r="C57" s="487"/>
      <c r="D57" s="521"/>
      <c r="E57" s="509" t="str">
        <f t="shared" si="1"/>
        <v/>
      </c>
      <c r="F57" s="487"/>
      <c r="G57" s="510"/>
      <c r="H57" s="518"/>
      <c r="I57" s="511"/>
      <c r="M57" s="378"/>
      <c r="N57" s="346" t="str">
        <f>IFERROR(VLOOKUP(G57,Ch1_Storage,2, FALSE),"")</f>
        <v/>
      </c>
    </row>
    <row r="58" ht="18.75" customHeight="1">
      <c r="A58" s="507">
        <f>IFERROR(VLOOKUP(H58,PartyStorage,2, FALSE),0)</f>
        <v>0</v>
      </c>
      <c r="B58" s="532"/>
      <c r="C58" s="481"/>
      <c r="D58" s="519"/>
      <c r="E58" s="513" t="str">
        <f t="shared" si="1"/>
        <v/>
      </c>
      <c r="F58" s="481"/>
      <c r="G58" s="514"/>
      <c r="H58" s="515"/>
      <c r="I58" s="516"/>
      <c r="M58" s="517"/>
      <c r="N58" s="346" t="str">
        <f>IFERROR(VLOOKUP(G58,Ch1_Storage,2, FALSE),"")</f>
        <v/>
      </c>
    </row>
    <row r="59" ht="18.75" customHeight="1">
      <c r="A59" s="507">
        <f>IFERROR(VLOOKUP(H59,PartyStorage,2, FALSE),0)</f>
        <v>0</v>
      </c>
      <c r="B59" s="531"/>
      <c r="C59" s="487"/>
      <c r="D59" s="521"/>
      <c r="E59" s="509" t="str">
        <f t="shared" si="1"/>
        <v/>
      </c>
      <c r="F59" s="487"/>
      <c r="G59" s="510"/>
      <c r="H59" s="518"/>
      <c r="I59" s="511"/>
      <c r="M59" s="378"/>
      <c r="N59" s="346" t="str">
        <f>IFERROR(VLOOKUP(G59,Ch1_Storage,2, FALSE),"")</f>
        <v/>
      </c>
    </row>
    <row r="60" ht="18.75" customHeight="1">
      <c r="A60" s="507">
        <f>IFERROR(VLOOKUP(H60,PartyStorage,2, FALSE),0)</f>
        <v>0</v>
      </c>
      <c r="B60" s="532"/>
      <c r="C60" s="481"/>
      <c r="D60" s="519"/>
      <c r="E60" s="513" t="str">
        <f t="shared" si="1"/>
        <v/>
      </c>
      <c r="F60" s="481"/>
      <c r="G60" s="514"/>
      <c r="H60" s="515"/>
      <c r="I60" s="516"/>
      <c r="M60" s="517"/>
      <c r="N60" s="346" t="str">
        <f>IFERROR(VLOOKUP(G60,Ch1_Storage,2, FALSE),"")</f>
        <v/>
      </c>
    </row>
    <row r="61" ht="18.75" customHeight="1">
      <c r="A61" s="507">
        <f>IFERROR(VLOOKUP(H61,PartyStorage,2, FALSE),0)</f>
        <v>0</v>
      </c>
      <c r="B61" s="531"/>
      <c r="C61" s="487"/>
      <c r="D61" s="521"/>
      <c r="E61" s="509" t="str">
        <f t="shared" si="1"/>
        <v/>
      </c>
      <c r="F61" s="487"/>
      <c r="G61" s="510"/>
      <c r="H61" s="518"/>
      <c r="I61" s="511"/>
      <c r="M61" s="378"/>
      <c r="N61" s="346" t="str">
        <f>IFERROR(VLOOKUP(G61,Ch1_Storage,2, FALSE),"")</f>
        <v/>
      </c>
    </row>
    <row r="62" ht="18.75" customHeight="1">
      <c r="A62" s="507">
        <f>IFERROR(VLOOKUP(H62,PartyStorage,2, FALSE),0)</f>
        <v>0</v>
      </c>
      <c r="B62" s="532"/>
      <c r="C62" s="481"/>
      <c r="D62" s="519"/>
      <c r="E62" s="513" t="str">
        <f t="shared" si="1"/>
        <v/>
      </c>
      <c r="F62" s="481"/>
      <c r="G62" s="514"/>
      <c r="H62" s="515"/>
      <c r="I62" s="516"/>
      <c r="M62" s="517"/>
      <c r="N62" s="346" t="str">
        <f>IFERROR(VLOOKUP(G62,Ch1_Storage,2, FALSE),"")</f>
        <v/>
      </c>
    </row>
    <row r="63" ht="18.75" customHeight="1">
      <c r="A63" s="507">
        <f>IFERROR(VLOOKUP(H63,PartyStorage,2, FALSE),0)</f>
        <v>0</v>
      </c>
      <c r="B63" s="531"/>
      <c r="C63" s="487"/>
      <c r="D63" s="521"/>
      <c r="E63" s="509" t="str">
        <f t="shared" si="1"/>
        <v/>
      </c>
      <c r="F63" s="487"/>
      <c r="G63" s="510"/>
      <c r="H63" s="518"/>
      <c r="I63" s="511"/>
      <c r="M63" s="378"/>
      <c r="N63" s="346" t="str">
        <f>IFERROR(VLOOKUP(G63,Ch1_Storage,2, FALSE),"")</f>
        <v/>
      </c>
    </row>
    <row r="64" ht="18.75" customHeight="1">
      <c r="A64" s="507">
        <f>IFERROR(VLOOKUP(H64,PartyStorage,2, FALSE),0)</f>
        <v>0</v>
      </c>
      <c r="B64" s="532"/>
      <c r="C64" s="481"/>
      <c r="D64" s="519"/>
      <c r="E64" s="513" t="str">
        <f t="shared" si="1"/>
        <v/>
      </c>
      <c r="F64" s="481"/>
      <c r="G64" s="514"/>
      <c r="H64" s="515"/>
      <c r="I64" s="516"/>
      <c r="M64" s="517"/>
      <c r="N64" s="346" t="str">
        <f>IFERROR(VLOOKUP(G64,Ch1_Storage,2, FALSE),"")</f>
        <v/>
      </c>
    </row>
    <row r="65" ht="18.75" customHeight="1">
      <c r="A65" s="507">
        <f>IFERROR(VLOOKUP(H65,PartyStorage,2, FALSE),0)</f>
        <v>0</v>
      </c>
      <c r="B65" s="531"/>
      <c r="C65" s="487"/>
      <c r="D65" s="521"/>
      <c r="E65" s="509" t="str">
        <f t="shared" si="1"/>
        <v/>
      </c>
      <c r="F65" s="487"/>
      <c r="G65" s="510"/>
      <c r="H65" s="518"/>
      <c r="I65" s="511"/>
      <c r="M65" s="378"/>
      <c r="N65" s="346" t="str">
        <f>IFERROR(VLOOKUP(G65,Ch1_Storage,2, FALSE),"")</f>
        <v/>
      </c>
    </row>
    <row r="66" ht="18.75" customHeight="1">
      <c r="A66" s="507">
        <f>IFERROR(VLOOKUP(H66,PartyStorage,2, FALSE),0)</f>
        <v>0</v>
      </c>
      <c r="B66" s="532"/>
      <c r="C66" s="481"/>
      <c r="D66" s="519"/>
      <c r="E66" s="513" t="str">
        <f t="shared" si="1"/>
        <v/>
      </c>
      <c r="F66" s="481"/>
      <c r="G66" s="514"/>
      <c r="H66" s="515"/>
      <c r="I66" s="516"/>
      <c r="M66" s="517"/>
      <c r="N66" s="346" t="str">
        <f>IFERROR(VLOOKUP(G66,Ch1_Storage,2, FALSE),"")</f>
        <v/>
      </c>
    </row>
    <row r="67" ht="18.75" customHeight="1">
      <c r="A67" s="507">
        <f>IFERROR(VLOOKUP(H67,PartyStorage,2, FALSE),0)</f>
        <v>0</v>
      </c>
      <c r="B67" s="531"/>
      <c r="C67" s="487"/>
      <c r="D67" s="521"/>
      <c r="E67" s="509" t="str">
        <f t="shared" si="1"/>
        <v/>
      </c>
      <c r="F67" s="487"/>
      <c r="G67" s="510"/>
      <c r="H67" s="518"/>
      <c r="I67" s="511"/>
      <c r="M67" s="378"/>
      <c r="N67" s="346" t="str">
        <f>IFERROR(VLOOKUP(G67,Ch1_Storage,2, FALSE),"")</f>
        <v/>
      </c>
    </row>
    <row r="68" ht="18.75" customHeight="1">
      <c r="A68" s="507">
        <f>IFERROR(VLOOKUP(H68,PartyStorage,2, FALSE),0)</f>
        <v>0</v>
      </c>
      <c r="B68" s="532"/>
      <c r="C68" s="481"/>
      <c r="D68" s="519"/>
      <c r="E68" s="513" t="str">
        <f t="shared" si="1"/>
        <v/>
      </c>
      <c r="F68" s="481"/>
      <c r="G68" s="514"/>
      <c r="H68" s="515"/>
      <c r="I68" s="516"/>
      <c r="M68" s="517"/>
      <c r="N68" s="346" t="str">
        <f>IFERROR(VLOOKUP(G68,Ch1_Storage,2, FALSE),"")</f>
        <v/>
      </c>
    </row>
    <row r="69" ht="18.75" customHeight="1">
      <c r="A69" s="507">
        <f>IFERROR(VLOOKUP(H69,PartyStorage,2, FALSE),0)</f>
        <v>0</v>
      </c>
      <c r="B69" s="531"/>
      <c r="C69" s="487"/>
      <c r="D69" s="521"/>
      <c r="E69" s="509" t="str">
        <f t="shared" si="1"/>
        <v/>
      </c>
      <c r="F69" s="487"/>
      <c r="G69" s="510"/>
      <c r="H69" s="518"/>
      <c r="I69" s="511"/>
      <c r="M69" s="378"/>
      <c r="N69" s="346" t="str">
        <f>IFERROR(VLOOKUP(G69,Ch1_Storage,2, FALSE),"")</f>
        <v/>
      </c>
    </row>
    <row r="70" ht="18.75" customHeight="1">
      <c r="A70" s="507">
        <f>IFERROR(VLOOKUP(H70,PartyStorage,2, FALSE),0)</f>
        <v>0</v>
      </c>
      <c r="B70" s="532"/>
      <c r="C70" s="481"/>
      <c r="D70" s="519"/>
      <c r="E70" s="513" t="str">
        <f t="shared" si="1"/>
        <v/>
      </c>
      <c r="F70" s="481"/>
      <c r="G70" s="514"/>
      <c r="H70" s="515"/>
      <c r="I70" s="516"/>
      <c r="M70" s="517"/>
      <c r="N70" s="346" t="str">
        <f>IFERROR(VLOOKUP(G70,Ch1_Storage,2, FALSE),"")</f>
        <v/>
      </c>
    </row>
    <row r="71" ht="18.75" customHeight="1">
      <c r="A71" s="507">
        <f>IFERROR(VLOOKUP(H71,PartyStorage,2, FALSE),0)</f>
        <v>0</v>
      </c>
      <c r="B71" s="531"/>
      <c r="C71" s="487"/>
      <c r="D71" s="521"/>
      <c r="E71" s="509" t="str">
        <f t="shared" si="1"/>
        <v/>
      </c>
      <c r="F71" s="487"/>
      <c r="G71" s="510"/>
      <c r="H71" s="518"/>
      <c r="I71" s="511"/>
      <c r="M71" s="378"/>
      <c r="N71" s="346" t="str">
        <f>IFERROR(VLOOKUP(G71,Ch1_Storage,2, FALSE),"")</f>
        <v/>
      </c>
    </row>
    <row r="72" ht="18.75" customHeight="1">
      <c r="A72" s="507">
        <f>IFERROR(VLOOKUP(H72,PartyStorage,2, FALSE),0)</f>
        <v>0</v>
      </c>
      <c r="B72" s="532"/>
      <c r="C72" s="481"/>
      <c r="D72" s="519"/>
      <c r="E72" s="513" t="str">
        <f t="shared" si="1"/>
        <v/>
      </c>
      <c r="F72" s="481"/>
      <c r="G72" s="514"/>
      <c r="H72" s="515"/>
      <c r="I72" s="516"/>
      <c r="M72" s="517"/>
      <c r="N72" s="346" t="str">
        <f>IFERROR(VLOOKUP(G72,Ch1_Storage,2, FALSE),"")</f>
        <v/>
      </c>
    </row>
    <row r="73" ht="18.75" customHeight="1">
      <c r="A73" s="507">
        <f>IFERROR(VLOOKUP(H73,PartyStorage,2, FALSE),0)</f>
        <v>0</v>
      </c>
      <c r="B73" s="531"/>
      <c r="C73" s="487"/>
      <c r="D73" s="521"/>
      <c r="E73" s="509" t="str">
        <f t="shared" si="1"/>
        <v/>
      </c>
      <c r="F73" s="487"/>
      <c r="G73" s="510"/>
      <c r="H73" s="518"/>
      <c r="I73" s="511"/>
      <c r="M73" s="378"/>
      <c r="N73" s="346" t="str">
        <f>IFERROR(VLOOKUP(G73,Ch1_Storage,2, FALSE),"")</f>
        <v/>
      </c>
    </row>
    <row r="74" ht="18.75" customHeight="1">
      <c r="A74" s="507">
        <f>IFERROR(VLOOKUP(H74,PartyStorage,2, FALSE),0)</f>
        <v>0</v>
      </c>
      <c r="B74" s="532"/>
      <c r="C74" s="481"/>
      <c r="D74" s="519"/>
      <c r="E74" s="513" t="str">
        <f t="shared" si="1"/>
        <v/>
      </c>
      <c r="F74" s="481"/>
      <c r="G74" s="514"/>
      <c r="H74" s="515"/>
      <c r="I74" s="516"/>
      <c r="M74" s="517"/>
      <c r="N74" s="346" t="str">
        <f>IFERROR(VLOOKUP(G74,Ch1_Storage,2, FALSE),"")</f>
        <v/>
      </c>
    </row>
    <row r="75" ht="18.75" customHeight="1">
      <c r="A75" s="507">
        <f>IFERROR(VLOOKUP(H75,PartyStorage,2, FALSE),0)</f>
        <v>0</v>
      </c>
      <c r="B75" s="531"/>
      <c r="C75" s="487"/>
      <c r="D75" s="521"/>
      <c r="E75" s="509" t="str">
        <f t="shared" si="1"/>
        <v/>
      </c>
      <c r="F75" s="487"/>
      <c r="G75" s="510"/>
      <c r="H75" s="518"/>
      <c r="I75" s="511"/>
      <c r="M75" s="378"/>
      <c r="N75" s="346" t="str">
        <f>IFERROR(VLOOKUP(G75,Ch1_Storage,2, FALSE),"")</f>
        <v/>
      </c>
    </row>
    <row r="76" ht="18.75" customHeight="1">
      <c r="A76" s="507">
        <f>IFERROR(VLOOKUP(H76,PartyStorage,2, FALSE),0)</f>
        <v>0</v>
      </c>
      <c r="B76" s="532"/>
      <c r="C76" s="481"/>
      <c r="D76" s="519"/>
      <c r="E76" s="513" t="str">
        <f t="shared" si="1"/>
        <v/>
      </c>
      <c r="F76" s="481"/>
      <c r="G76" s="514"/>
      <c r="H76" s="515"/>
      <c r="I76" s="516"/>
      <c r="M76" s="517"/>
      <c r="N76" s="346" t="str">
        <f>IFERROR(VLOOKUP(G76,Ch1_Storage,2, FALSE),"")</f>
        <v/>
      </c>
    </row>
    <row r="77" ht="18.75" customHeight="1">
      <c r="A77" s="507">
        <f>IFERROR(VLOOKUP(H77,PartyStorage,2, FALSE),0)</f>
        <v>0</v>
      </c>
      <c r="B77" s="531"/>
      <c r="C77" s="487"/>
      <c r="D77" s="521"/>
      <c r="E77" s="509" t="str">
        <f t="shared" si="1"/>
        <v/>
      </c>
      <c r="F77" s="487"/>
      <c r="G77" s="510"/>
      <c r="H77" s="518"/>
      <c r="I77" s="511"/>
      <c r="M77" s="378"/>
      <c r="N77" s="346" t="str">
        <f>IFERROR(VLOOKUP(G77,Ch1_Storage,2, FALSE),"")</f>
        <v/>
      </c>
    </row>
    <row r="78" ht="18.75" customHeight="1">
      <c r="A78" s="507">
        <f>IFERROR(VLOOKUP(H78,PartyStorage,2, FALSE),0)</f>
        <v>0</v>
      </c>
      <c r="B78" s="532"/>
      <c r="C78" s="481"/>
      <c r="D78" s="519"/>
      <c r="E78" s="513" t="str">
        <f t="shared" si="1"/>
        <v/>
      </c>
      <c r="F78" s="481"/>
      <c r="G78" s="514"/>
      <c r="H78" s="515"/>
      <c r="I78" s="516"/>
      <c r="M78" s="517"/>
      <c r="N78" s="346" t="str">
        <f>IFERROR(VLOOKUP(G78,Ch1_Storage,2, FALSE),"")</f>
        <v/>
      </c>
    </row>
    <row r="79" ht="18.75" customHeight="1">
      <c r="A79" s="507">
        <f>IFERROR(VLOOKUP(H79,PartyStorage,2, FALSE),0)</f>
        <v>0</v>
      </c>
      <c r="B79" s="531"/>
      <c r="C79" s="487"/>
      <c r="D79" s="521"/>
      <c r="E79" s="509" t="str">
        <f t="shared" si="1"/>
        <v/>
      </c>
      <c r="F79" s="487"/>
      <c r="G79" s="510"/>
      <c r="H79" s="518"/>
      <c r="I79" s="511"/>
      <c r="M79" s="378"/>
      <c r="N79" s="346" t="str">
        <f>IFERROR(VLOOKUP(G79,Ch1_Storage,2, FALSE),"")</f>
        <v/>
      </c>
    </row>
    <row r="80" ht="18.75" customHeight="1">
      <c r="A80" s="507">
        <f>IFERROR(VLOOKUP(H80,PartyStorage,2, FALSE),0)</f>
        <v>0</v>
      </c>
      <c r="B80" s="532"/>
      <c r="C80" s="481"/>
      <c r="D80" s="519"/>
      <c r="E80" s="513" t="str">
        <f t="shared" si="1"/>
        <v/>
      </c>
      <c r="F80" s="481"/>
      <c r="G80" s="514"/>
      <c r="H80" s="515"/>
      <c r="I80" s="516"/>
      <c r="M80" s="517"/>
      <c r="N80" s="346" t="str">
        <f>IFERROR(VLOOKUP(G80,Ch1_Storage,2, FALSE),"")</f>
        <v/>
      </c>
    </row>
    <row r="81" ht="18.75" customHeight="1">
      <c r="A81" s="507">
        <f>IFERROR(VLOOKUP(H81,PartyStorage,2, FALSE),0)</f>
        <v>0</v>
      </c>
      <c r="B81" s="531"/>
      <c r="C81" s="487"/>
      <c r="D81" s="521"/>
      <c r="E81" s="509" t="str">
        <f t="shared" si="1"/>
        <v/>
      </c>
      <c r="F81" s="487"/>
      <c r="G81" s="510"/>
      <c r="H81" s="518"/>
      <c r="I81" s="511"/>
      <c r="M81" s="378"/>
      <c r="N81" s="346" t="str">
        <f>IFERROR(VLOOKUP(G81,Ch1_Storage,2, FALSE),"")</f>
        <v/>
      </c>
    </row>
    <row r="82" ht="18.75" customHeight="1">
      <c r="A82" s="507">
        <f>IFERROR(VLOOKUP(H82,PartyStorage,2, FALSE),0)</f>
        <v>0</v>
      </c>
      <c r="B82" s="532"/>
      <c r="C82" s="481"/>
      <c r="D82" s="519"/>
      <c r="E82" s="513" t="str">
        <f t="shared" si="1"/>
        <v/>
      </c>
      <c r="F82" s="481"/>
      <c r="G82" s="514"/>
      <c r="H82" s="515"/>
      <c r="I82" s="516"/>
      <c r="M82" s="517"/>
      <c r="N82" s="346" t="str">
        <f>IFERROR(VLOOKUP(G82,Ch1_Storage,2, FALSE),"")</f>
        <v/>
      </c>
    </row>
    <row r="83" ht="18.75" customHeight="1">
      <c r="A83" s="507">
        <f>IFERROR(VLOOKUP(H83,PartyStorage,2, FALSE),0)</f>
        <v>0</v>
      </c>
      <c r="B83" s="531"/>
      <c r="C83" s="487"/>
      <c r="D83" s="521"/>
      <c r="E83" s="509" t="str">
        <f t="shared" si="1"/>
        <v/>
      </c>
      <c r="F83" s="487"/>
      <c r="G83" s="510"/>
      <c r="H83" s="518"/>
      <c r="I83" s="511"/>
      <c r="M83" s="378"/>
      <c r="N83" s="346" t="str">
        <f>IFERROR(VLOOKUP(G83,Ch1_Storage,2, FALSE),"")</f>
        <v/>
      </c>
    </row>
    <row r="84" ht="18.75" customHeight="1">
      <c r="A84" s="507">
        <f>IFERROR(VLOOKUP(H84,PartyStorage,2, FALSE),0)</f>
        <v>0</v>
      </c>
      <c r="B84" s="532"/>
      <c r="C84" s="481"/>
      <c r="D84" s="519"/>
      <c r="E84" s="513" t="str">
        <f t="shared" si="1"/>
        <v/>
      </c>
      <c r="F84" s="481"/>
      <c r="G84" s="514"/>
      <c r="H84" s="515"/>
      <c r="I84" s="516"/>
      <c r="M84" s="517"/>
      <c r="N84" s="346" t="str">
        <f>IFERROR(VLOOKUP(G84,Ch1_Storage,2, FALSE),"")</f>
        <v/>
      </c>
    </row>
    <row r="85" ht="18.75" customHeight="1">
      <c r="A85" s="507">
        <f>IFERROR(VLOOKUP(H85,PartyStorage,2, FALSE),0)</f>
        <v>0</v>
      </c>
      <c r="B85" s="531"/>
      <c r="C85" s="487"/>
      <c r="D85" s="521"/>
      <c r="E85" s="509" t="str">
        <f t="shared" si="1"/>
        <v/>
      </c>
      <c r="F85" s="487"/>
      <c r="G85" s="510"/>
      <c r="H85" s="518"/>
      <c r="I85" s="511"/>
      <c r="M85" s="378"/>
      <c r="N85" s="346" t="str">
        <f>IFERROR(VLOOKUP(G85,Ch1_Storage,2, FALSE),"")</f>
        <v/>
      </c>
    </row>
    <row r="86" ht="18.75" customHeight="1">
      <c r="A86" s="507">
        <f>IFERROR(VLOOKUP(H86,PartyStorage,2, FALSE),0)</f>
        <v>0</v>
      </c>
      <c r="B86" s="532"/>
      <c r="C86" s="481"/>
      <c r="D86" s="519"/>
      <c r="E86" s="513" t="str">
        <f t="shared" si="1"/>
        <v/>
      </c>
      <c r="F86" s="481"/>
      <c r="G86" s="514"/>
      <c r="H86" s="515"/>
      <c r="I86" s="516"/>
      <c r="M86" s="517"/>
      <c r="N86" s="346" t="str">
        <f>IFERROR(VLOOKUP(G86,Ch1_Storage,2, FALSE),"")</f>
        <v/>
      </c>
    </row>
    <row r="87" ht="18.75" customHeight="1">
      <c r="A87" s="507">
        <f>IFERROR(VLOOKUP(H87,PartyStorage,2, FALSE),0)</f>
        <v>0</v>
      </c>
      <c r="B87" s="531"/>
      <c r="C87" s="487"/>
      <c r="D87" s="521"/>
      <c r="E87" s="509" t="str">
        <f t="shared" si="1"/>
        <v/>
      </c>
      <c r="F87" s="487"/>
      <c r="G87" s="510"/>
      <c r="H87" s="518"/>
      <c r="I87" s="511"/>
      <c r="M87" s="378"/>
      <c r="N87" s="346" t="str">
        <f>IFERROR(VLOOKUP(G87,Ch1_Storage,2, FALSE),"")</f>
        <v/>
      </c>
    </row>
    <row r="88" ht="18.75" customHeight="1">
      <c r="A88" s="507">
        <f>IFERROR(VLOOKUP(H88,PartyStorage,2, FALSE),0)</f>
        <v>0</v>
      </c>
      <c r="B88" s="532"/>
      <c r="C88" s="481"/>
      <c r="D88" s="519"/>
      <c r="E88" s="513" t="str">
        <f t="shared" si="1"/>
        <v/>
      </c>
      <c r="F88" s="481"/>
      <c r="G88" s="514"/>
      <c r="H88" s="515"/>
      <c r="I88" s="516"/>
      <c r="M88" s="517"/>
      <c r="N88" s="346" t="str">
        <f>IFERROR(VLOOKUP(G88,Ch1_Storage,2, FALSE),"")</f>
        <v/>
      </c>
    </row>
    <row r="89" ht="18.75" customHeight="1">
      <c r="A89" s="507">
        <f>IFERROR(VLOOKUP(H89,PartyStorage,2, FALSE),0)</f>
        <v>0</v>
      </c>
      <c r="B89" s="531"/>
      <c r="C89" s="487"/>
      <c r="D89" s="521"/>
      <c r="E89" s="509" t="str">
        <f t="shared" si="1"/>
        <v/>
      </c>
      <c r="F89" s="487"/>
      <c r="G89" s="510"/>
      <c r="H89" s="518"/>
      <c r="I89" s="511"/>
      <c r="M89" s="378"/>
      <c r="N89" s="346" t="str">
        <f>IFERROR(VLOOKUP(G89,Ch1_Storage,2, FALSE),"")</f>
        <v/>
      </c>
    </row>
    <row r="90" ht="18.75" customHeight="1">
      <c r="A90" s="507">
        <f>IFERROR(VLOOKUP(H90,PartyStorage,2, FALSE),0)</f>
        <v>0</v>
      </c>
      <c r="B90" s="532"/>
      <c r="C90" s="481"/>
      <c r="D90" s="519"/>
      <c r="E90" s="513" t="str">
        <f t="shared" si="1"/>
        <v/>
      </c>
      <c r="F90" s="481"/>
      <c r="G90" s="514"/>
      <c r="H90" s="515"/>
      <c r="I90" s="516"/>
      <c r="M90" s="517"/>
      <c r="N90" s="346" t="str">
        <f>IFERROR(VLOOKUP(G90,Ch1_Storage,2, FALSE),"")</f>
        <v/>
      </c>
    </row>
    <row r="91" ht="18.75" customHeight="1">
      <c r="A91" s="507">
        <f>IFERROR(VLOOKUP(H91,PartyStorage,2, FALSE),0)</f>
        <v>0</v>
      </c>
      <c r="B91" s="531"/>
      <c r="C91" s="487"/>
      <c r="D91" s="521"/>
      <c r="E91" s="509" t="str">
        <f t="shared" si="1"/>
        <v/>
      </c>
      <c r="F91" s="487"/>
      <c r="G91" s="510"/>
      <c r="H91" s="518"/>
      <c r="I91" s="511"/>
      <c r="M91" s="378"/>
      <c r="N91" s="346" t="str">
        <f>IFERROR(VLOOKUP(G91,Ch1_Storage,2, FALSE),"")</f>
        <v/>
      </c>
    </row>
    <row r="92" ht="18.75" customHeight="1">
      <c r="A92" s="507">
        <f>IFERROR(VLOOKUP(H92,PartyStorage,2, FALSE),0)</f>
        <v>0</v>
      </c>
      <c r="B92" s="532"/>
      <c r="C92" s="481"/>
      <c r="D92" s="519"/>
      <c r="E92" s="513" t="str">
        <f t="shared" si="1"/>
        <v/>
      </c>
      <c r="F92" s="481"/>
      <c r="G92" s="514"/>
      <c r="H92" s="515"/>
      <c r="I92" s="516"/>
      <c r="M92" s="517"/>
      <c r="N92" s="346" t="str">
        <f>IFERROR(VLOOKUP(G92,Ch1_Storage,2, FALSE),"")</f>
        <v/>
      </c>
    </row>
    <row r="93" ht="18.75" customHeight="1">
      <c r="A93" s="507">
        <f>IFERROR(VLOOKUP(H93,PartyStorage,2, FALSE),0)</f>
        <v>0</v>
      </c>
      <c r="B93" s="531"/>
      <c r="C93" s="487"/>
      <c r="D93" s="521"/>
      <c r="E93" s="509" t="str">
        <f t="shared" si="1"/>
        <v/>
      </c>
      <c r="F93" s="487"/>
      <c r="G93" s="510"/>
      <c r="H93" s="518"/>
      <c r="I93" s="511"/>
      <c r="M93" s="378"/>
      <c r="N93" s="346" t="str">
        <f>IFERROR(VLOOKUP(G93,Ch1_Storage,2, FALSE),"")</f>
        <v/>
      </c>
    </row>
    <row r="94" ht="18.75" customHeight="1">
      <c r="A94" s="507">
        <f>IFERROR(VLOOKUP(H94,PartyStorage,2, FALSE),0)</f>
        <v>0</v>
      </c>
      <c r="B94" s="532"/>
      <c r="C94" s="481"/>
      <c r="D94" s="519"/>
      <c r="E94" s="513" t="str">
        <f t="shared" si="1"/>
        <v/>
      </c>
      <c r="F94" s="481"/>
      <c r="G94" s="514"/>
      <c r="H94" s="515"/>
      <c r="I94" s="516"/>
      <c r="M94" s="517"/>
      <c r="N94" s="346" t="str">
        <f>IFERROR(VLOOKUP(G94,Ch1_Storage,2, FALSE),"")</f>
        <v/>
      </c>
    </row>
    <row r="95" ht="18.75" customHeight="1">
      <c r="A95" s="507">
        <f>IFERROR(VLOOKUP(H95,PartyStorage,2, FALSE),0)</f>
        <v>0</v>
      </c>
      <c r="B95" s="531"/>
      <c r="C95" s="487"/>
      <c r="D95" s="521"/>
      <c r="E95" s="509" t="str">
        <f t="shared" si="1"/>
        <v/>
      </c>
      <c r="F95" s="487"/>
      <c r="G95" s="510"/>
      <c r="H95" s="518"/>
      <c r="I95" s="511"/>
      <c r="M95" s="378"/>
      <c r="N95" s="346" t="str">
        <f>IFERROR(VLOOKUP(G95,Ch1_Storage,2, FALSE),"")</f>
        <v/>
      </c>
    </row>
    <row r="96" ht="18.75" customHeight="1">
      <c r="A96" s="507">
        <f>IFERROR(VLOOKUP(H96,PartyStorage,2, FALSE),0)</f>
        <v>0</v>
      </c>
      <c r="B96" s="532"/>
      <c r="C96" s="481"/>
      <c r="D96" s="519"/>
      <c r="E96" s="513" t="str">
        <f t="shared" si="1"/>
        <v/>
      </c>
      <c r="F96" s="481"/>
      <c r="G96" s="514"/>
      <c r="H96" s="515"/>
      <c r="I96" s="516"/>
      <c r="M96" s="517"/>
      <c r="N96" s="346" t="str">
        <f>IFERROR(VLOOKUP(G96,Ch1_Storage,2, FALSE),"")</f>
        <v/>
      </c>
    </row>
    <row r="97" ht="18.75" customHeight="1">
      <c r="A97" s="507">
        <f>IFERROR(VLOOKUP(H97,PartyStorage,2, FALSE),0)</f>
        <v>0</v>
      </c>
      <c r="B97" s="531"/>
      <c r="C97" s="487"/>
      <c r="D97" s="521"/>
      <c r="E97" s="509" t="str">
        <f t="shared" si="1"/>
        <v/>
      </c>
      <c r="F97" s="487"/>
      <c r="G97" s="510"/>
      <c r="H97" s="518"/>
      <c r="I97" s="511"/>
      <c r="M97" s="378"/>
      <c r="N97" s="346" t="str">
        <f>IFERROR(VLOOKUP(G97,Ch1_Storage,2, FALSE),"")</f>
        <v/>
      </c>
    </row>
    <row r="98" ht="18.75" customHeight="1">
      <c r="A98" s="507">
        <f>IFERROR(VLOOKUP(H98,PartyStorage,2, FALSE),0)</f>
        <v>0</v>
      </c>
      <c r="B98" s="532"/>
      <c r="C98" s="481"/>
      <c r="D98" s="519"/>
      <c r="E98" s="513" t="str">
        <f t="shared" si="1"/>
        <v/>
      </c>
      <c r="F98" s="481"/>
      <c r="G98" s="514"/>
      <c r="H98" s="515"/>
      <c r="I98" s="516"/>
      <c r="M98" s="517"/>
      <c r="N98" s="346" t="str">
        <f>IFERROR(VLOOKUP(G98,Ch1_Storage,2, FALSE),"")</f>
        <v/>
      </c>
    </row>
    <row r="99" ht="18.75" customHeight="1">
      <c r="A99" s="507">
        <f>IFERROR(VLOOKUP(H99,PartyStorage,2, FALSE),0)</f>
        <v>0</v>
      </c>
      <c r="B99" s="531"/>
      <c r="C99" s="487"/>
      <c r="D99" s="521"/>
      <c r="E99" s="509" t="str">
        <f t="shared" si="1"/>
        <v/>
      </c>
      <c r="F99" s="487"/>
      <c r="G99" s="510"/>
      <c r="H99" s="518"/>
      <c r="I99" s="511"/>
      <c r="M99" s="378"/>
      <c r="N99" s="346" t="str">
        <f>IFERROR(VLOOKUP(G99,Ch1_Storage,2, FALSE),"")</f>
        <v/>
      </c>
    </row>
    <row r="100" ht="18.75" customHeight="1">
      <c r="A100" s="507">
        <f>IFERROR(VLOOKUP(H100,PartyStorage,2, FALSE),0)</f>
        <v>0</v>
      </c>
      <c r="B100" s="532"/>
      <c r="C100" s="481"/>
      <c r="D100" s="519"/>
      <c r="E100" s="513" t="str">
        <f t="shared" si="1"/>
        <v/>
      </c>
      <c r="F100" s="481"/>
      <c r="G100" s="514"/>
      <c r="H100" s="515"/>
      <c r="I100" s="516"/>
      <c r="M100" s="517"/>
      <c r="N100" s="346" t="str">
        <f>IFERROR(VLOOKUP(G100,Ch1_Storage,2, FALSE),"")</f>
        <v/>
      </c>
    </row>
    <row r="101" ht="18.75" customHeight="1">
      <c r="A101" s="507">
        <f>IFERROR(VLOOKUP(H101,PartyStorage,2, FALSE),0)</f>
        <v>0</v>
      </c>
      <c r="B101" s="531"/>
      <c r="C101" s="487"/>
      <c r="D101" s="521"/>
      <c r="E101" s="509" t="str">
        <f t="shared" si="1"/>
        <v/>
      </c>
      <c r="F101" s="487"/>
      <c r="G101" s="510"/>
      <c r="H101" s="518"/>
      <c r="I101" s="511"/>
      <c r="M101" s="378"/>
      <c r="N101" s="346" t="str">
        <f>IFERROR(VLOOKUP(G101,Ch1_Storage,2, FALSE),"")</f>
        <v/>
      </c>
    </row>
    <row r="102" ht="18.75" customHeight="1">
      <c r="A102" s="507">
        <f>IFERROR(VLOOKUP(H102,PartyStorage,2, FALSE),0)</f>
        <v>0</v>
      </c>
      <c r="B102" s="532"/>
      <c r="C102" s="481"/>
      <c r="D102" s="519"/>
      <c r="E102" s="513" t="str">
        <f t="shared" si="1"/>
        <v/>
      </c>
      <c r="F102" s="481"/>
      <c r="G102" s="514"/>
      <c r="H102" s="515"/>
      <c r="I102" s="516"/>
      <c r="M102" s="517"/>
      <c r="N102" s="346" t="str">
        <f>IFERROR(VLOOKUP(G102,Ch1_Storage,2, FALSE),"")</f>
        <v/>
      </c>
    </row>
    <row r="103" ht="18.75" customHeight="1">
      <c r="A103" s="507">
        <f>IFERROR(VLOOKUP(H103,PartyStorage,2, FALSE),0)</f>
        <v>0</v>
      </c>
      <c r="B103" s="531"/>
      <c r="C103" s="487"/>
      <c r="D103" s="521"/>
      <c r="E103" s="509" t="str">
        <f t="shared" si="1"/>
        <v/>
      </c>
      <c r="F103" s="487"/>
      <c r="G103" s="510"/>
      <c r="H103" s="518"/>
      <c r="I103" s="511"/>
      <c r="M103" s="378"/>
      <c r="N103" s="346" t="str">
        <f>IFERROR(VLOOKUP(G103,Ch1_Storage,2, FALSE),"")</f>
        <v/>
      </c>
    </row>
    <row r="104" ht="18.75" customHeight="1">
      <c r="A104" s="507">
        <f>IFERROR(VLOOKUP(H104,PartyStorage,2, FALSE),0)</f>
        <v>0</v>
      </c>
      <c r="B104" s="532"/>
      <c r="C104" s="481"/>
      <c r="D104" s="519"/>
      <c r="E104" s="513" t="str">
        <f t="shared" si="1"/>
        <v/>
      </c>
      <c r="F104" s="481"/>
      <c r="G104" s="514"/>
      <c r="H104" s="515"/>
      <c r="I104" s="516"/>
      <c r="M104" s="517"/>
      <c r="N104" s="346" t="str">
        <f>IFERROR(VLOOKUP(G104,Ch1_Storage,2, FALSE),"")</f>
        <v/>
      </c>
    </row>
    <row r="105" ht="18.75" customHeight="1">
      <c r="A105" s="507">
        <f>IFERROR(VLOOKUP(H105,PartyStorage,2, FALSE),0)</f>
        <v>0</v>
      </c>
      <c r="B105" s="531"/>
      <c r="C105" s="487"/>
      <c r="D105" s="521"/>
      <c r="E105" s="509" t="str">
        <f t="shared" si="1"/>
        <v/>
      </c>
      <c r="F105" s="487"/>
      <c r="G105" s="510"/>
      <c r="H105" s="518"/>
      <c r="I105" s="511"/>
      <c r="M105" s="378"/>
      <c r="N105" s="346" t="str">
        <f>IFERROR(VLOOKUP(G105,Ch1_Storage,2, FALSE),"")</f>
        <v/>
      </c>
    </row>
    <row r="106" ht="18.75" customHeight="1">
      <c r="A106" s="507">
        <f>IFERROR(VLOOKUP(H106,PartyStorage,2, FALSE),0)</f>
        <v>0</v>
      </c>
      <c r="B106" s="532"/>
      <c r="C106" s="481"/>
      <c r="D106" s="519"/>
      <c r="E106" s="513" t="str">
        <f t="shared" si="1"/>
        <v/>
      </c>
      <c r="F106" s="481"/>
      <c r="G106" s="514"/>
      <c r="H106" s="515"/>
      <c r="I106" s="516"/>
      <c r="M106" s="517"/>
      <c r="N106" s="346" t="str">
        <f>IFERROR(VLOOKUP(G106,Ch1_Storage,2, FALSE),"")</f>
        <v/>
      </c>
    </row>
    <row r="107" ht="18.75" customHeight="1">
      <c r="A107" s="507">
        <f>IFERROR(VLOOKUP(H107,PartyStorage,2, FALSE),0)</f>
        <v>0</v>
      </c>
      <c r="B107" s="531"/>
      <c r="C107" s="487"/>
      <c r="D107" s="521"/>
      <c r="E107" s="509" t="str">
        <f t="shared" si="1"/>
        <v/>
      </c>
      <c r="F107" s="487"/>
      <c r="G107" s="510"/>
      <c r="H107" s="518"/>
      <c r="I107" s="511"/>
      <c r="M107" s="378"/>
      <c r="N107" s="346" t="str">
        <f>IFERROR(VLOOKUP(G107,Ch1_Storage,2, FALSE),"")</f>
        <v/>
      </c>
    </row>
    <row r="108" ht="18.75" customHeight="1">
      <c r="A108" s="507">
        <f>IFERROR(VLOOKUP(H108,PartyStorage,2, FALSE),0)</f>
        <v>0</v>
      </c>
      <c r="B108" s="532"/>
      <c r="C108" s="481"/>
      <c r="D108" s="519"/>
      <c r="E108" s="513" t="str">
        <f t="shared" si="1"/>
        <v/>
      </c>
      <c r="F108" s="481"/>
      <c r="G108" s="514"/>
      <c r="H108" s="515"/>
      <c r="I108" s="516"/>
      <c r="M108" s="517"/>
      <c r="N108" s="346" t="str">
        <f>IFERROR(VLOOKUP(G108,Ch1_Storage,2, FALSE),"")</f>
        <v/>
      </c>
    </row>
    <row r="109" ht="18.75" customHeight="1">
      <c r="A109" s="507">
        <f>IFERROR(VLOOKUP(H109,PartyStorage,2, FALSE),0)</f>
        <v>0</v>
      </c>
      <c r="B109" s="531"/>
      <c r="C109" s="487"/>
      <c r="D109" s="521"/>
      <c r="E109" s="509" t="str">
        <f t="shared" si="1"/>
        <v/>
      </c>
      <c r="F109" s="487"/>
      <c r="G109" s="510"/>
      <c r="H109" s="518"/>
      <c r="I109" s="511"/>
      <c r="M109" s="378"/>
      <c r="N109" s="346" t="str">
        <f>IFERROR(VLOOKUP(G109,Ch1_Storage,2, FALSE),"")</f>
        <v/>
      </c>
    </row>
    <row r="110" ht="18.75" customHeight="1">
      <c r="A110" s="507">
        <f>IFERROR(VLOOKUP(H110,PartyStorage,2, FALSE),0)</f>
        <v>0</v>
      </c>
      <c r="B110" s="532"/>
      <c r="C110" s="481"/>
      <c r="D110" s="519"/>
      <c r="E110" s="513" t="str">
        <f t="shared" si="1"/>
        <v/>
      </c>
      <c r="F110" s="481"/>
      <c r="G110" s="514"/>
      <c r="H110" s="515"/>
      <c r="I110" s="516"/>
      <c r="M110" s="517"/>
      <c r="N110" s="346" t="str">
        <f>IFERROR(VLOOKUP(G110,Ch1_Storage,2, FALSE),"")</f>
        <v/>
      </c>
    </row>
    <row r="111" ht="18.75" customHeight="1">
      <c r="A111" s="507">
        <f>IFERROR(VLOOKUP(H111,PartyStorage,2, FALSE),0)</f>
        <v>0</v>
      </c>
      <c r="B111" s="531"/>
      <c r="C111" s="487"/>
      <c r="D111" s="521"/>
      <c r="E111" s="509" t="str">
        <f t="shared" si="1"/>
        <v/>
      </c>
      <c r="F111" s="487"/>
      <c r="G111" s="510"/>
      <c r="H111" s="518"/>
      <c r="I111" s="511"/>
      <c r="M111" s="378"/>
      <c r="N111" s="346" t="str">
        <f>IFERROR(VLOOKUP(G111,Ch1_Storage,2, FALSE),"")</f>
        <v/>
      </c>
    </row>
    <row r="112" ht="18.75" customHeight="1">
      <c r="A112" s="507">
        <f>IFERROR(VLOOKUP(H112,PartyStorage,2, FALSE),0)</f>
        <v>0</v>
      </c>
      <c r="B112" s="532"/>
      <c r="C112" s="481"/>
      <c r="D112" s="519"/>
      <c r="E112" s="513" t="str">
        <f t="shared" si="1"/>
        <v/>
      </c>
      <c r="F112" s="481"/>
      <c r="G112" s="514"/>
      <c r="H112" s="515"/>
      <c r="I112" s="516"/>
      <c r="M112" s="517"/>
      <c r="N112" s="346" t="str">
        <f>IFERROR(VLOOKUP(G112,Ch1_Storage,2, FALSE),"")</f>
        <v/>
      </c>
    </row>
    <row r="113" ht="18.75" customHeight="1">
      <c r="A113" s="507">
        <f>IFERROR(VLOOKUP(H113,PartyStorage,2, FALSE),0)</f>
        <v>0</v>
      </c>
      <c r="B113" s="531"/>
      <c r="C113" s="487"/>
      <c r="D113" s="521"/>
      <c r="E113" s="509" t="str">
        <f t="shared" si="1"/>
        <v/>
      </c>
      <c r="F113" s="487"/>
      <c r="G113" s="510"/>
      <c r="H113" s="518"/>
      <c r="I113" s="511"/>
      <c r="M113" s="378"/>
      <c r="N113" s="346" t="str">
        <f>IFERROR(VLOOKUP(G113,Ch1_Storage,2, FALSE),"")</f>
        <v/>
      </c>
    </row>
    <row r="114" ht="18.75" customHeight="1">
      <c r="A114" s="507">
        <f>IFERROR(VLOOKUP(H114,PartyStorage,2, FALSE),0)</f>
        <v>0</v>
      </c>
      <c r="B114" s="532"/>
      <c r="C114" s="481"/>
      <c r="D114" s="519"/>
      <c r="E114" s="513" t="str">
        <f t="shared" si="1"/>
        <v/>
      </c>
      <c r="F114" s="481"/>
      <c r="G114" s="514"/>
      <c r="H114" s="515"/>
      <c r="I114" s="516"/>
      <c r="M114" s="517"/>
      <c r="N114" s="346" t="str">
        <f>IFERROR(VLOOKUP(G114,Ch1_Storage,2, FALSE),"")</f>
        <v/>
      </c>
    </row>
    <row r="115" ht="18.75" customHeight="1">
      <c r="A115" s="507">
        <f>IFERROR(VLOOKUP(H115,PartyStorage,2, FALSE),0)</f>
        <v>0</v>
      </c>
      <c r="B115" s="531"/>
      <c r="C115" s="487"/>
      <c r="D115" s="521"/>
      <c r="E115" s="509" t="str">
        <f t="shared" si="1"/>
        <v/>
      </c>
      <c r="F115" s="487"/>
      <c r="G115" s="510"/>
      <c r="H115" s="518"/>
      <c r="I115" s="511"/>
      <c r="M115" s="378"/>
      <c r="N115" s="346" t="str">
        <f>IFERROR(VLOOKUP(G115,Ch1_Storage,2, FALSE),"")</f>
        <v/>
      </c>
    </row>
    <row r="116" ht="18.75" customHeight="1">
      <c r="A116" s="507">
        <f>IFERROR(VLOOKUP(H116,PartyStorage,2, FALSE),0)</f>
        <v>0</v>
      </c>
      <c r="B116" s="532"/>
      <c r="C116" s="481"/>
      <c r="D116" s="519"/>
      <c r="E116" s="513" t="str">
        <f t="shared" si="1"/>
        <v/>
      </c>
      <c r="F116" s="481"/>
      <c r="G116" s="514"/>
      <c r="H116" s="515"/>
      <c r="I116" s="516"/>
      <c r="M116" s="517"/>
      <c r="N116" s="346" t="str">
        <f>IFERROR(VLOOKUP(G116,Ch1_Storage,2, FALSE),"")</f>
        <v/>
      </c>
    </row>
    <row r="117" ht="18.75" customHeight="1">
      <c r="A117" s="507">
        <f>IFERROR(VLOOKUP(H117,PartyStorage,2, FALSE),0)</f>
        <v>0</v>
      </c>
      <c r="B117" s="531"/>
      <c r="C117" s="487"/>
      <c r="D117" s="521"/>
      <c r="E117" s="509" t="str">
        <f t="shared" si="1"/>
        <v/>
      </c>
      <c r="F117" s="487"/>
      <c r="G117" s="510"/>
      <c r="H117" s="518"/>
      <c r="I117" s="511"/>
      <c r="M117" s="378"/>
      <c r="N117" s="346" t="str">
        <f>IFERROR(VLOOKUP(G117,Ch1_Storage,2, FALSE),"")</f>
        <v/>
      </c>
    </row>
    <row r="118" ht="18.75" customHeight="1">
      <c r="A118" s="507">
        <f>IFERROR(VLOOKUP(H118,PartyStorage,2, FALSE),0)</f>
        <v>0</v>
      </c>
      <c r="B118" s="532"/>
      <c r="C118" s="481"/>
      <c r="D118" s="519"/>
      <c r="E118" s="513" t="str">
        <f t="shared" si="1"/>
        <v/>
      </c>
      <c r="F118" s="481"/>
      <c r="G118" s="514"/>
      <c r="H118" s="515"/>
      <c r="I118" s="516"/>
      <c r="M118" s="517"/>
      <c r="N118" s="346" t="str">
        <f>IFERROR(VLOOKUP(G118,Ch1_Storage,2, FALSE),"")</f>
        <v/>
      </c>
    </row>
    <row r="119" ht="18.75" customHeight="1">
      <c r="A119" s="507">
        <f>IFERROR(VLOOKUP(H119,PartyStorage,2, FALSE),0)</f>
        <v>0</v>
      </c>
      <c r="B119" s="531"/>
      <c r="C119" s="487"/>
      <c r="D119" s="521"/>
      <c r="E119" s="509" t="str">
        <f t="shared" si="1"/>
        <v/>
      </c>
      <c r="F119" s="487"/>
      <c r="G119" s="510"/>
      <c r="H119" s="518"/>
      <c r="I119" s="511"/>
      <c r="M119" s="378"/>
      <c r="N119" s="346" t="str">
        <f>IFERROR(VLOOKUP(G119,Ch1_Storage,2, FALSE),"")</f>
        <v/>
      </c>
    </row>
    <row r="120" ht="18.75" customHeight="1">
      <c r="A120" s="507">
        <f>IFERROR(VLOOKUP(H120,PartyStorage,2, FALSE),0)</f>
        <v>0</v>
      </c>
      <c r="B120" s="532"/>
      <c r="C120" s="481"/>
      <c r="D120" s="519"/>
      <c r="E120" s="513" t="str">
        <f t="shared" si="1"/>
        <v/>
      </c>
      <c r="F120" s="481"/>
      <c r="G120" s="514"/>
      <c r="H120" s="515"/>
      <c r="I120" s="516"/>
      <c r="M120" s="517"/>
      <c r="N120" s="346" t="str">
        <f>IFERROR(VLOOKUP(G120,Ch1_Storage,2, FALSE),"")</f>
        <v/>
      </c>
    </row>
    <row r="121" ht="18.75" customHeight="1">
      <c r="A121" s="507">
        <f>IFERROR(VLOOKUP(H121,PartyStorage,2, FALSE),0)</f>
        <v>0</v>
      </c>
      <c r="B121" s="531"/>
      <c r="C121" s="487"/>
      <c r="D121" s="521"/>
      <c r="E121" s="509" t="str">
        <f t="shared" si="1"/>
        <v/>
      </c>
      <c r="F121" s="487"/>
      <c r="G121" s="510"/>
      <c r="H121" s="518"/>
      <c r="I121" s="511"/>
      <c r="M121" s="378"/>
      <c r="N121" s="346" t="str">
        <f>IFERROR(VLOOKUP(G121,Ch1_Storage,2, FALSE),"")</f>
        <v/>
      </c>
    </row>
    <row r="122" ht="18.75" customHeight="1">
      <c r="A122" s="507">
        <f>IFERROR(VLOOKUP(H122,PartyStorage,2, FALSE),0)</f>
        <v>0</v>
      </c>
      <c r="B122" s="532"/>
      <c r="C122" s="481"/>
      <c r="D122" s="519"/>
      <c r="E122" s="513" t="str">
        <f t="shared" si="1"/>
        <v/>
      </c>
      <c r="F122" s="481"/>
      <c r="G122" s="514"/>
      <c r="H122" s="515"/>
      <c r="I122" s="516"/>
      <c r="M122" s="517"/>
      <c r="N122" s="346" t="str">
        <f>IFERROR(VLOOKUP(G122,Ch1_Storage,2, FALSE),"")</f>
        <v/>
      </c>
    </row>
    <row r="123" ht="18.75" customHeight="1">
      <c r="A123" s="507">
        <f>IFERROR(VLOOKUP(H123,PartyStorage,2, FALSE),0)</f>
        <v>0</v>
      </c>
      <c r="B123" s="531"/>
      <c r="C123" s="487"/>
      <c r="D123" s="521"/>
      <c r="E123" s="509" t="str">
        <f t="shared" si="1"/>
        <v/>
      </c>
      <c r="F123" s="487"/>
      <c r="G123" s="510"/>
      <c r="H123" s="518"/>
      <c r="I123" s="511"/>
      <c r="M123" s="378"/>
      <c r="N123" s="346" t="str">
        <f>IFERROR(VLOOKUP(G123,Ch1_Storage,2, FALSE),"")</f>
        <v/>
      </c>
    </row>
    <row r="124" ht="18.75" customHeight="1">
      <c r="A124" s="507">
        <f>IFERROR(VLOOKUP(H124,PartyStorage,2, FALSE),0)</f>
        <v>0</v>
      </c>
      <c r="B124" s="532"/>
      <c r="C124" s="481"/>
      <c r="D124" s="519"/>
      <c r="E124" s="513" t="str">
        <f t="shared" si="1"/>
        <v/>
      </c>
      <c r="F124" s="481"/>
      <c r="G124" s="514"/>
      <c r="H124" s="515"/>
      <c r="I124" s="516"/>
      <c r="M124" s="517"/>
      <c r="N124" s="346" t="str">
        <f>IFERROR(VLOOKUP(G124,Ch1_Storage,2, FALSE),"")</f>
        <v/>
      </c>
    </row>
    <row r="125" ht="18.75" customHeight="1">
      <c r="A125" s="507">
        <f>IFERROR(VLOOKUP(H125,PartyStorage,2, FALSE),0)</f>
        <v>0</v>
      </c>
      <c r="B125" s="531"/>
      <c r="C125" s="487"/>
      <c r="D125" s="521"/>
      <c r="E125" s="509" t="str">
        <f t="shared" si="1"/>
        <v/>
      </c>
      <c r="F125" s="487"/>
      <c r="G125" s="510"/>
      <c r="H125" s="518"/>
      <c r="I125" s="511"/>
      <c r="M125" s="378"/>
      <c r="N125" s="346" t="str">
        <f>IFERROR(VLOOKUP(G125,Ch1_Storage,2, FALSE),"")</f>
        <v/>
      </c>
    </row>
    <row r="126" ht="18.75" customHeight="1">
      <c r="A126" s="507">
        <f>IFERROR(VLOOKUP(H126,PartyStorage,2, FALSE),0)</f>
        <v>0</v>
      </c>
      <c r="B126" s="532"/>
      <c r="C126" s="481"/>
      <c r="D126" s="519"/>
      <c r="E126" s="513" t="str">
        <f t="shared" si="1"/>
        <v/>
      </c>
      <c r="F126" s="481"/>
      <c r="G126" s="514"/>
      <c r="H126" s="515"/>
      <c r="I126" s="516"/>
      <c r="M126" s="517"/>
      <c r="N126" s="346" t="str">
        <f>IFERROR(VLOOKUP(G126,Ch1_Storage,2, FALSE),"")</f>
        <v/>
      </c>
    </row>
    <row r="127" ht="18.75" customHeight="1">
      <c r="A127" s="507">
        <f>IFERROR(VLOOKUP(H127,PartyStorage,2, FALSE),0)</f>
        <v>0</v>
      </c>
      <c r="B127" s="531"/>
      <c r="C127" s="487"/>
      <c r="D127" s="521"/>
      <c r="E127" s="509" t="str">
        <f t="shared" si="1"/>
        <v/>
      </c>
      <c r="F127" s="487"/>
      <c r="G127" s="510"/>
      <c r="H127" s="518"/>
      <c r="I127" s="511"/>
      <c r="M127" s="378"/>
      <c r="N127" s="346" t="str">
        <f>IFERROR(VLOOKUP(G127,Ch1_Storage,2, FALSE),"")</f>
        <v/>
      </c>
    </row>
    <row r="128" ht="18.75" customHeight="1">
      <c r="A128" s="507">
        <f>IFERROR(VLOOKUP(H128,PartyStorage,2, FALSE),0)</f>
        <v>0</v>
      </c>
      <c r="B128" s="532"/>
      <c r="C128" s="481"/>
      <c r="D128" s="519"/>
      <c r="E128" s="513" t="str">
        <f t="shared" si="1"/>
        <v/>
      </c>
      <c r="F128" s="481"/>
      <c r="G128" s="514"/>
      <c r="H128" s="515"/>
      <c r="I128" s="516"/>
      <c r="M128" s="517"/>
      <c r="N128" s="346" t="str">
        <f>IFERROR(VLOOKUP(G128,Ch1_Storage,2, FALSE),"")</f>
        <v/>
      </c>
    </row>
    <row r="129" ht="18.75" customHeight="1">
      <c r="A129" s="507">
        <f>IFERROR(VLOOKUP(H129,PartyStorage,2, FALSE),0)</f>
        <v>0</v>
      </c>
      <c r="B129" s="531"/>
      <c r="C129" s="487"/>
      <c r="D129" s="521"/>
      <c r="E129" s="509" t="str">
        <f t="shared" si="1"/>
        <v/>
      </c>
      <c r="F129" s="487"/>
      <c r="G129" s="510"/>
      <c r="H129" s="518"/>
      <c r="I129" s="511"/>
      <c r="M129" s="378"/>
      <c r="N129" s="346" t="str">
        <f>IFERROR(VLOOKUP(G129,Ch1_Storage,2, FALSE),"")</f>
        <v/>
      </c>
    </row>
    <row r="130" ht="18.75" customHeight="1">
      <c r="A130" s="507">
        <f>IFERROR(VLOOKUP(H130,PartyStorage,2, FALSE),0)</f>
        <v>0</v>
      </c>
      <c r="B130" s="532"/>
      <c r="C130" s="481"/>
      <c r="D130" s="519"/>
      <c r="E130" s="513" t="str">
        <f t="shared" si="1"/>
        <v/>
      </c>
      <c r="F130" s="481"/>
      <c r="G130" s="514"/>
      <c r="H130" s="515"/>
      <c r="I130" s="516"/>
      <c r="M130" s="517"/>
      <c r="N130" s="346" t="str">
        <f>IFERROR(VLOOKUP(G130,Ch1_Storage,2, FALSE),"")</f>
        <v/>
      </c>
    </row>
    <row r="131" ht="18.75" customHeight="1">
      <c r="A131" s="507">
        <f>IFERROR(VLOOKUP(H131,PartyStorage,2, FALSE),0)</f>
        <v>0</v>
      </c>
      <c r="B131" s="531"/>
      <c r="C131" s="487"/>
      <c r="D131" s="521"/>
      <c r="E131" s="509" t="str">
        <f t="shared" si="1"/>
        <v/>
      </c>
      <c r="F131" s="487"/>
      <c r="G131" s="510"/>
      <c r="H131" s="518"/>
      <c r="I131" s="511"/>
      <c r="M131" s="378"/>
      <c r="N131" s="346" t="str">
        <f>IFERROR(VLOOKUP(G131,Ch1_Storage,2, FALSE),"")</f>
        <v/>
      </c>
    </row>
    <row r="132" ht="18.75" customHeight="1">
      <c r="A132" s="507">
        <f>IFERROR(VLOOKUP(H132,PartyStorage,2, FALSE),0)</f>
        <v>0</v>
      </c>
      <c r="B132" s="532"/>
      <c r="C132" s="481"/>
      <c r="D132" s="519"/>
      <c r="E132" s="513" t="str">
        <f t="shared" si="1"/>
        <v/>
      </c>
      <c r="F132" s="481"/>
      <c r="G132" s="514"/>
      <c r="H132" s="515"/>
      <c r="I132" s="516"/>
      <c r="M132" s="517"/>
      <c r="N132" s="346" t="str">
        <f>IFERROR(VLOOKUP(G132,Ch1_Storage,2, FALSE),"")</f>
        <v/>
      </c>
    </row>
    <row r="133" ht="18.75" customHeight="1">
      <c r="A133" s="507">
        <f>IFERROR(VLOOKUP(H133,PartyStorage,2, FALSE),0)</f>
        <v>0</v>
      </c>
      <c r="B133" s="531"/>
      <c r="C133" s="487"/>
      <c r="D133" s="521"/>
      <c r="E133" s="509" t="str">
        <f t="shared" si="1"/>
        <v/>
      </c>
      <c r="F133" s="487"/>
      <c r="G133" s="510"/>
      <c r="H133" s="518"/>
      <c r="I133" s="511"/>
      <c r="M133" s="378"/>
      <c r="N133" s="346" t="str">
        <f>IFERROR(VLOOKUP(G133,Ch1_Storage,2, FALSE),"")</f>
        <v/>
      </c>
    </row>
    <row r="134" ht="18.75" customHeight="1">
      <c r="A134" s="507">
        <f>IFERROR(VLOOKUP(H134,PartyStorage,2, FALSE),0)</f>
        <v>0</v>
      </c>
      <c r="B134" s="532"/>
      <c r="C134" s="481"/>
      <c r="D134" s="519"/>
      <c r="E134" s="513" t="str">
        <f t="shared" si="1"/>
        <v/>
      </c>
      <c r="F134" s="481"/>
      <c r="G134" s="514"/>
      <c r="H134" s="515"/>
      <c r="I134" s="516"/>
      <c r="M134" s="517"/>
      <c r="N134" s="346" t="str">
        <f>IFERROR(VLOOKUP(G134,Ch1_Storage,2, FALSE),"")</f>
        <v/>
      </c>
    </row>
    <row r="135" ht="18.75" customHeight="1">
      <c r="A135" s="507">
        <f>IFERROR(VLOOKUP(H135,PartyStorage,2, FALSE),0)</f>
        <v>0</v>
      </c>
      <c r="B135" s="531"/>
      <c r="C135" s="487"/>
      <c r="D135" s="521"/>
      <c r="E135" s="509" t="str">
        <f t="shared" si="1"/>
        <v/>
      </c>
      <c r="F135" s="487"/>
      <c r="G135" s="510"/>
      <c r="H135" s="518"/>
      <c r="I135" s="511"/>
      <c r="M135" s="378"/>
      <c r="N135" s="346" t="str">
        <f>IFERROR(VLOOKUP(G135,Ch1_Storage,2, FALSE),"")</f>
        <v/>
      </c>
    </row>
    <row r="136" ht="18.75" customHeight="1">
      <c r="A136" s="507">
        <f>IFERROR(VLOOKUP(H136,PartyStorage,2, FALSE),0)</f>
        <v>0</v>
      </c>
      <c r="B136" s="532"/>
      <c r="C136" s="481"/>
      <c r="D136" s="519"/>
      <c r="E136" s="513" t="str">
        <f t="shared" si="1"/>
        <v/>
      </c>
      <c r="F136" s="481"/>
      <c r="G136" s="514"/>
      <c r="H136" s="515"/>
      <c r="I136" s="516"/>
      <c r="M136" s="517"/>
      <c r="N136" s="346" t="str">
        <f>IFERROR(VLOOKUP(G136,Ch1_Storage,2, FALSE),"")</f>
        <v/>
      </c>
    </row>
    <row r="137" ht="18.75" customHeight="1">
      <c r="A137" s="507">
        <f>IFERROR(VLOOKUP(H137,PartyStorage,2, FALSE),0)</f>
        <v>0</v>
      </c>
      <c r="B137" s="531"/>
      <c r="C137" s="487"/>
      <c r="D137" s="521"/>
      <c r="E137" s="509" t="str">
        <f t="shared" si="1"/>
        <v/>
      </c>
      <c r="F137" s="487"/>
      <c r="G137" s="510"/>
      <c r="H137" s="518"/>
      <c r="I137" s="511"/>
      <c r="M137" s="378"/>
      <c r="N137" s="346" t="str">
        <f>IFERROR(VLOOKUP(G137,Ch1_Storage,2, FALSE),"")</f>
        <v/>
      </c>
    </row>
    <row r="138" ht="18.75" customHeight="1">
      <c r="A138" s="507">
        <f>IFERROR(VLOOKUP(H138,PartyStorage,2, FALSE),0)</f>
        <v>0</v>
      </c>
      <c r="B138" s="532"/>
      <c r="C138" s="481"/>
      <c r="D138" s="519"/>
      <c r="E138" s="513" t="str">
        <f t="shared" si="1"/>
        <v/>
      </c>
      <c r="F138" s="481"/>
      <c r="G138" s="514"/>
      <c r="H138" s="515"/>
      <c r="I138" s="516"/>
      <c r="M138" s="517"/>
      <c r="N138" s="346" t="str">
        <f>IFERROR(VLOOKUP(G138,Ch1_Storage,2, FALSE),"")</f>
        <v/>
      </c>
    </row>
    <row r="139" ht="18.75" customHeight="1">
      <c r="A139" s="507">
        <f>IFERROR(VLOOKUP(H139,PartyStorage,2, FALSE),0)</f>
        <v>0</v>
      </c>
      <c r="B139" s="531"/>
      <c r="C139" s="487"/>
      <c r="D139" s="521"/>
      <c r="E139" s="509" t="str">
        <f t="shared" si="1"/>
        <v/>
      </c>
      <c r="F139" s="487"/>
      <c r="G139" s="510"/>
      <c r="H139" s="518"/>
      <c r="I139" s="511"/>
      <c r="M139" s="378"/>
      <c r="N139" s="346" t="str">
        <f>IFERROR(VLOOKUP(G139,Ch1_Storage,2, FALSE),"")</f>
        <v/>
      </c>
    </row>
    <row r="140" ht="18.75" customHeight="1">
      <c r="A140" s="507">
        <f>IFERROR(VLOOKUP(H140,PartyStorage,2, FALSE),0)</f>
        <v>0</v>
      </c>
      <c r="B140" s="532"/>
      <c r="C140" s="481"/>
      <c r="D140" s="519"/>
      <c r="E140" s="513" t="str">
        <f t="shared" si="1"/>
        <v/>
      </c>
      <c r="F140" s="481"/>
      <c r="G140" s="514"/>
      <c r="H140" s="515"/>
      <c r="I140" s="516"/>
      <c r="M140" s="517"/>
      <c r="N140" s="346" t="str">
        <f>IFERROR(VLOOKUP(G140,Ch1_Storage,2, FALSE),"")</f>
        <v/>
      </c>
    </row>
    <row r="141" ht="18.75" customHeight="1">
      <c r="A141" s="507">
        <f>IFERROR(VLOOKUP(H141,PartyStorage,2, FALSE),0)</f>
        <v>0</v>
      </c>
      <c r="B141" s="531"/>
      <c r="C141" s="487"/>
      <c r="D141" s="521"/>
      <c r="E141" s="509" t="str">
        <f t="shared" si="1"/>
        <v/>
      </c>
      <c r="F141" s="487"/>
      <c r="G141" s="510"/>
      <c r="H141" s="518"/>
      <c r="I141" s="511"/>
      <c r="M141" s="378"/>
      <c r="N141" s="346" t="str">
        <f>IFERROR(VLOOKUP(G141,Ch1_Storage,2, FALSE),"")</f>
        <v/>
      </c>
    </row>
    <row r="142" ht="18.75" customHeight="1">
      <c r="A142" s="507">
        <f>IFERROR(VLOOKUP(H142,PartyStorage,2, FALSE),0)</f>
        <v>0</v>
      </c>
      <c r="B142" s="532"/>
      <c r="C142" s="481"/>
      <c r="D142" s="519"/>
      <c r="E142" s="513" t="str">
        <f t="shared" si="1"/>
        <v/>
      </c>
      <c r="F142" s="481"/>
      <c r="G142" s="514"/>
      <c r="H142" s="515"/>
      <c r="I142" s="516"/>
      <c r="M142" s="517"/>
      <c r="N142" s="346" t="str">
        <f>IFERROR(VLOOKUP(G142,Ch1_Storage,2, FALSE),"")</f>
        <v/>
      </c>
    </row>
    <row r="143" ht="18.75" customHeight="1">
      <c r="A143" s="507">
        <f>IFERROR(VLOOKUP(H143,PartyStorage,2, FALSE),0)</f>
        <v>0</v>
      </c>
      <c r="B143" s="531"/>
      <c r="C143" s="487"/>
      <c r="D143" s="521"/>
      <c r="E143" s="509" t="str">
        <f t="shared" si="1"/>
        <v/>
      </c>
      <c r="F143" s="487"/>
      <c r="G143" s="510"/>
      <c r="H143" s="518"/>
      <c r="I143" s="511"/>
      <c r="M143" s="378"/>
      <c r="N143" s="346" t="str">
        <f>IFERROR(VLOOKUP(G143,Ch1_Storage,2, FALSE),"")</f>
        <v/>
      </c>
    </row>
    <row r="144" ht="18.75" customHeight="1">
      <c r="A144" s="507">
        <f>IFERROR(VLOOKUP(H144,PartyStorage,2, FALSE),0)</f>
        <v>0</v>
      </c>
      <c r="B144" s="532"/>
      <c r="C144" s="481"/>
      <c r="D144" s="519"/>
      <c r="E144" s="513" t="str">
        <f t="shared" si="1"/>
        <v/>
      </c>
      <c r="F144" s="481"/>
      <c r="G144" s="514"/>
      <c r="H144" s="515"/>
      <c r="I144" s="516"/>
      <c r="M144" s="517"/>
      <c r="N144" s="346" t="str">
        <f>IFERROR(VLOOKUP(G144,Ch1_Storage,2, FALSE),"")</f>
        <v/>
      </c>
    </row>
    <row r="145" ht="18.75" customHeight="1">
      <c r="A145" s="507">
        <f>IFERROR(VLOOKUP(H145,PartyStorage,2, FALSE),0)</f>
        <v>0</v>
      </c>
      <c r="B145" s="531"/>
      <c r="C145" s="487"/>
      <c r="D145" s="521"/>
      <c r="E145" s="509" t="str">
        <f t="shared" si="1"/>
        <v/>
      </c>
      <c r="F145" s="487"/>
      <c r="G145" s="510"/>
      <c r="H145" s="518"/>
      <c r="I145" s="511"/>
      <c r="M145" s="378"/>
      <c r="N145" s="346" t="str">
        <f>IFERROR(VLOOKUP(G145,Ch1_Storage,2, FALSE),"")</f>
        <v/>
      </c>
    </row>
    <row r="146" ht="18.75" customHeight="1">
      <c r="A146" s="507">
        <f>IFERROR(VLOOKUP(H146,PartyStorage,2, FALSE),0)</f>
        <v>0</v>
      </c>
      <c r="B146" s="532"/>
      <c r="C146" s="481"/>
      <c r="D146" s="519"/>
      <c r="E146" s="513" t="str">
        <f t="shared" si="1"/>
        <v/>
      </c>
      <c r="F146" s="481"/>
      <c r="G146" s="514"/>
      <c r="H146" s="515"/>
      <c r="I146" s="516"/>
      <c r="M146" s="517"/>
      <c r="N146" s="346" t="str">
        <f>IFERROR(VLOOKUP(G146,Ch1_Storage,2, FALSE),"")</f>
        <v/>
      </c>
    </row>
    <row r="147" ht="18.75" customHeight="1">
      <c r="A147" s="507">
        <f>IFERROR(VLOOKUP(H147,PartyStorage,2, FALSE),0)</f>
        <v>0</v>
      </c>
      <c r="B147" s="531"/>
      <c r="C147" s="487"/>
      <c r="D147" s="521"/>
      <c r="E147" s="509" t="str">
        <f t="shared" si="1"/>
        <v/>
      </c>
      <c r="F147" s="487"/>
      <c r="G147" s="510"/>
      <c r="H147" s="518"/>
      <c r="I147" s="511"/>
      <c r="M147" s="378"/>
      <c r="N147" s="346" t="str">
        <f>IFERROR(VLOOKUP(G147,Ch1_Storage,2, FALSE),"")</f>
        <v/>
      </c>
    </row>
    <row r="148" ht="18.75" customHeight="1">
      <c r="A148" s="507">
        <f>IFERROR(VLOOKUP(H148,PartyStorage,2, FALSE),0)</f>
        <v>0</v>
      </c>
      <c r="B148" s="532"/>
      <c r="C148" s="481"/>
      <c r="D148" s="519"/>
      <c r="E148" s="513" t="str">
        <f t="shared" si="1"/>
        <v/>
      </c>
      <c r="F148" s="481"/>
      <c r="G148" s="514"/>
      <c r="H148" s="515"/>
      <c r="I148" s="516"/>
      <c r="M148" s="517"/>
      <c r="N148" s="346" t="str">
        <f>IFERROR(VLOOKUP(G148,Ch1_Storage,2, FALSE),"")</f>
        <v/>
      </c>
    </row>
    <row r="149" ht="18.75" customHeight="1">
      <c r="A149" s="507">
        <f>IFERROR(VLOOKUP(H149,PartyStorage,2, FALSE),0)</f>
        <v>0</v>
      </c>
      <c r="B149" s="531"/>
      <c r="C149" s="487"/>
      <c r="D149" s="521"/>
      <c r="E149" s="509" t="str">
        <f t="shared" si="1"/>
        <v/>
      </c>
      <c r="F149" s="487"/>
      <c r="G149" s="510"/>
      <c r="H149" s="518"/>
      <c r="I149" s="511"/>
      <c r="M149" s="378"/>
      <c r="N149" s="346" t="str">
        <f>IFERROR(VLOOKUP(G149,Ch1_Storage,2, FALSE),"")</f>
        <v/>
      </c>
    </row>
    <row r="150" ht="18.75" customHeight="1">
      <c r="A150" s="507">
        <f>IFERROR(VLOOKUP(H150,PartyStorage,2, FALSE),0)</f>
        <v>0</v>
      </c>
      <c r="B150" s="532"/>
      <c r="C150" s="481"/>
      <c r="D150" s="519"/>
      <c r="E150" s="513" t="str">
        <f t="shared" si="1"/>
        <v/>
      </c>
      <c r="F150" s="481"/>
      <c r="G150" s="514"/>
      <c r="H150" s="515"/>
      <c r="I150" s="516"/>
      <c r="M150" s="517"/>
      <c r="N150" s="346" t="str">
        <f>IFERROR(VLOOKUP(G150,Ch1_Storage,2, FALSE),"")</f>
        <v/>
      </c>
    </row>
    <row r="151" ht="18.75" customHeight="1">
      <c r="A151" s="507">
        <f>IFERROR(VLOOKUP(H151,PartyStorage,2, FALSE),0)</f>
        <v>0</v>
      </c>
      <c r="B151" s="531"/>
      <c r="C151" s="487"/>
      <c r="D151" s="521"/>
      <c r="E151" s="509" t="str">
        <f t="shared" si="1"/>
        <v/>
      </c>
      <c r="F151" s="487"/>
      <c r="G151" s="510"/>
      <c r="H151" s="518"/>
      <c r="I151" s="511"/>
      <c r="M151" s="378"/>
      <c r="N151" s="346" t="str">
        <f>IFERROR(VLOOKUP(G151,Ch1_Storage,2, FALSE),"")</f>
        <v/>
      </c>
    </row>
    <row r="152" ht="18.75" customHeight="1">
      <c r="A152" s="507">
        <f>IFERROR(VLOOKUP(H152,PartyStorage,2, FALSE),0)</f>
        <v>0</v>
      </c>
      <c r="B152" s="532"/>
      <c r="C152" s="481"/>
      <c r="D152" s="519"/>
      <c r="E152" s="513" t="str">
        <f t="shared" si="1"/>
        <v/>
      </c>
      <c r="F152" s="481"/>
      <c r="G152" s="514"/>
      <c r="H152" s="515"/>
      <c r="I152" s="516"/>
      <c r="M152" s="517"/>
      <c r="N152" s="346" t="str">
        <f>IFERROR(VLOOKUP(G152,Ch1_Storage,2, FALSE),"")</f>
        <v/>
      </c>
    </row>
    <row r="153" ht="18.75" customHeight="1">
      <c r="A153" s="507">
        <f>IFERROR(VLOOKUP(H153,PartyStorage,2, FALSE),0)</f>
        <v>0</v>
      </c>
      <c r="B153" s="531"/>
      <c r="C153" s="487"/>
      <c r="D153" s="521"/>
      <c r="E153" s="509" t="str">
        <f t="shared" si="1"/>
        <v/>
      </c>
      <c r="F153" s="487"/>
      <c r="G153" s="510"/>
      <c r="H153" s="518"/>
      <c r="I153" s="511"/>
      <c r="M153" s="378"/>
      <c r="N153" s="346" t="str">
        <f>IFERROR(VLOOKUP(G153,Ch1_Storage,2, FALSE),"")</f>
        <v/>
      </c>
    </row>
    <row r="154" ht="18.75" customHeight="1">
      <c r="A154" s="507">
        <f>IFERROR(VLOOKUP(H154,PartyStorage,2, FALSE),0)</f>
        <v>0</v>
      </c>
      <c r="B154" s="532"/>
      <c r="C154" s="481"/>
      <c r="D154" s="519"/>
      <c r="E154" s="513" t="str">
        <f t="shared" si="1"/>
        <v/>
      </c>
      <c r="F154" s="481"/>
      <c r="G154" s="514"/>
      <c r="H154" s="515"/>
      <c r="I154" s="516"/>
      <c r="M154" s="517"/>
      <c r="N154" s="346" t="str">
        <f>IFERROR(VLOOKUP(G154,Ch1_Storage,2, FALSE),"")</f>
        <v/>
      </c>
    </row>
    <row r="155" ht="18.75" customHeight="1">
      <c r="A155" s="507">
        <f>IFERROR(VLOOKUP(H155,PartyStorage,2, FALSE),0)</f>
        <v>0</v>
      </c>
      <c r="B155" s="531"/>
      <c r="C155" s="487"/>
      <c r="D155" s="521"/>
      <c r="E155" s="509" t="str">
        <f t="shared" si="1"/>
        <v/>
      </c>
      <c r="F155" s="487"/>
      <c r="G155" s="510"/>
      <c r="H155" s="518"/>
      <c r="I155" s="511"/>
      <c r="M155" s="378"/>
      <c r="N155" s="346" t="str">
        <f>IFERROR(VLOOKUP(G155,Ch1_Storage,2, FALSE),"")</f>
        <v/>
      </c>
    </row>
    <row r="156" ht="18.75" customHeight="1">
      <c r="A156" s="507">
        <f>IFERROR(VLOOKUP(H156,PartyStorage,2, FALSE),0)</f>
        <v>0</v>
      </c>
      <c r="B156" s="532"/>
      <c r="C156" s="481"/>
      <c r="D156" s="519"/>
      <c r="E156" s="513" t="str">
        <f t="shared" si="1"/>
        <v/>
      </c>
      <c r="F156" s="481"/>
      <c r="G156" s="514"/>
      <c r="H156" s="515"/>
      <c r="I156" s="516"/>
      <c r="M156" s="517"/>
      <c r="N156" s="346" t="str">
        <f>IFERROR(VLOOKUP(G156,Ch1_Storage,2, FALSE),"")</f>
        <v/>
      </c>
    </row>
    <row r="157" ht="18.75" customHeight="1">
      <c r="A157" s="507">
        <f>IFERROR(VLOOKUP(H157,PartyStorage,2, FALSE),0)</f>
        <v>0</v>
      </c>
      <c r="B157" s="531"/>
      <c r="C157" s="487"/>
      <c r="D157" s="521"/>
      <c r="E157" s="509" t="str">
        <f t="shared" si="1"/>
        <v/>
      </c>
      <c r="F157" s="487"/>
      <c r="G157" s="510"/>
      <c r="H157" s="518"/>
      <c r="I157" s="511"/>
      <c r="M157" s="378"/>
      <c r="N157" s="346" t="str">
        <f>IFERROR(VLOOKUP(G157,Ch1_Storage,2, FALSE),"")</f>
        <v/>
      </c>
    </row>
    <row r="158" ht="18.75" customHeight="1">
      <c r="A158" s="507">
        <f>IFERROR(VLOOKUP(H158,PartyStorage,2, FALSE),0)</f>
        <v>0</v>
      </c>
      <c r="B158" s="532"/>
      <c r="C158" s="481"/>
      <c r="D158" s="519"/>
      <c r="E158" s="513" t="str">
        <f t="shared" si="1"/>
        <v/>
      </c>
      <c r="F158" s="481"/>
      <c r="G158" s="514"/>
      <c r="H158" s="515"/>
      <c r="I158" s="516"/>
      <c r="M158" s="517"/>
      <c r="N158" s="346" t="str">
        <f>IFERROR(VLOOKUP(G158,Ch1_Storage,2, FALSE),"")</f>
        <v/>
      </c>
    </row>
    <row r="159" ht="18.75" customHeight="1">
      <c r="A159" s="507">
        <f>IFERROR(VLOOKUP(H159,PartyStorage,2, FALSE),0)</f>
        <v>0</v>
      </c>
      <c r="B159" s="531"/>
      <c r="C159" s="487"/>
      <c r="D159" s="521"/>
      <c r="E159" s="509" t="str">
        <f t="shared" si="1"/>
        <v/>
      </c>
      <c r="F159" s="487"/>
      <c r="G159" s="510"/>
      <c r="H159" s="518"/>
      <c r="I159" s="511"/>
      <c r="M159" s="378"/>
      <c r="N159" s="346" t="str">
        <f>IFERROR(VLOOKUP(G159,Ch1_Storage,2, FALSE),"")</f>
        <v/>
      </c>
    </row>
    <row r="160" ht="18.75" customHeight="1">
      <c r="A160" s="507">
        <f>IFERROR(VLOOKUP(H160,PartyStorage,2, FALSE),0)</f>
        <v>0</v>
      </c>
      <c r="B160" s="532"/>
      <c r="C160" s="481"/>
      <c r="D160" s="519"/>
      <c r="E160" s="513" t="str">
        <f t="shared" si="1"/>
        <v/>
      </c>
      <c r="F160" s="481"/>
      <c r="G160" s="514"/>
      <c r="H160" s="515"/>
      <c r="I160" s="516"/>
      <c r="M160" s="517"/>
      <c r="N160" s="346" t="str">
        <f>IFERROR(VLOOKUP(G160,Ch1_Storage,2, FALSE),"")</f>
        <v/>
      </c>
    </row>
    <row r="161" ht="18.75" customHeight="1">
      <c r="A161" s="507">
        <f>IFERROR(VLOOKUP(H161,PartyStorage,2, FALSE),0)</f>
        <v>0</v>
      </c>
      <c r="B161" s="531"/>
      <c r="C161" s="487"/>
      <c r="D161" s="521"/>
      <c r="E161" s="509" t="str">
        <f t="shared" si="1"/>
        <v/>
      </c>
      <c r="F161" s="487"/>
      <c r="G161" s="510"/>
      <c r="H161" s="518"/>
      <c r="I161" s="511"/>
      <c r="M161" s="378"/>
      <c r="N161" s="346" t="str">
        <f>IFERROR(VLOOKUP(G161,Ch1_Storage,2, FALSE),"")</f>
        <v/>
      </c>
    </row>
    <row r="162" ht="18.75" customHeight="1">
      <c r="A162" s="507">
        <f>IFERROR(VLOOKUP(H162,PartyStorage,2, FALSE),0)</f>
        <v>0</v>
      </c>
      <c r="B162" s="532"/>
      <c r="C162" s="481"/>
      <c r="D162" s="519"/>
      <c r="E162" s="513" t="str">
        <f t="shared" si="1"/>
        <v/>
      </c>
      <c r="F162" s="481"/>
      <c r="G162" s="514"/>
      <c r="H162" s="515"/>
      <c r="I162" s="516"/>
      <c r="M162" s="517"/>
      <c r="N162" s="346" t="str">
        <f>IFERROR(VLOOKUP(G162,Ch1_Storage,2, FALSE),"")</f>
        <v/>
      </c>
    </row>
    <row r="163" ht="18.75" customHeight="1">
      <c r="A163" s="507">
        <f>IFERROR(VLOOKUP(H163,PartyStorage,2, FALSE),0)</f>
        <v>0</v>
      </c>
      <c r="B163" s="531"/>
      <c r="C163" s="487"/>
      <c r="D163" s="521"/>
      <c r="E163" s="509" t="str">
        <f t="shared" si="1"/>
        <v/>
      </c>
      <c r="F163" s="487"/>
      <c r="G163" s="510"/>
      <c r="H163" s="518"/>
      <c r="I163" s="511"/>
      <c r="M163" s="378"/>
      <c r="N163" s="346" t="str">
        <f>IFERROR(VLOOKUP(G163,Ch1_Storage,2, FALSE),"")</f>
        <v/>
      </c>
    </row>
    <row r="164" ht="18.75" customHeight="1">
      <c r="A164" s="507">
        <f>IFERROR(VLOOKUP(H164,PartyStorage,2, FALSE),0)</f>
        <v>0</v>
      </c>
      <c r="B164" s="532"/>
      <c r="C164" s="481"/>
      <c r="D164" s="519"/>
      <c r="E164" s="513" t="str">
        <f t="shared" si="1"/>
        <v/>
      </c>
      <c r="F164" s="481"/>
      <c r="G164" s="514"/>
      <c r="H164" s="515"/>
      <c r="I164" s="516"/>
      <c r="M164" s="517"/>
      <c r="N164" s="346" t="str">
        <f>IFERROR(VLOOKUP(G164,Ch1_Storage,2, FALSE),"")</f>
        <v/>
      </c>
    </row>
    <row r="165" ht="18.75" customHeight="1">
      <c r="A165" s="507">
        <f>IFERROR(VLOOKUP(H165,PartyStorage,2, FALSE),0)</f>
        <v>0</v>
      </c>
      <c r="B165" s="531"/>
      <c r="C165" s="487"/>
      <c r="D165" s="521"/>
      <c r="E165" s="509" t="str">
        <f t="shared" si="1"/>
        <v/>
      </c>
      <c r="F165" s="487"/>
      <c r="G165" s="510"/>
      <c r="H165" s="518"/>
      <c r="I165" s="511"/>
      <c r="M165" s="378"/>
      <c r="N165" s="346" t="str">
        <f>IFERROR(VLOOKUP(G165,Ch1_Storage,2, FALSE),"")</f>
        <v/>
      </c>
    </row>
    <row r="166" ht="18.75" customHeight="1">
      <c r="A166" s="507">
        <f>IFERROR(VLOOKUP(H166,PartyStorage,2, FALSE),0)</f>
        <v>0</v>
      </c>
      <c r="B166" s="532"/>
      <c r="C166" s="481"/>
      <c r="D166" s="519"/>
      <c r="E166" s="513" t="str">
        <f t="shared" si="1"/>
        <v/>
      </c>
      <c r="F166" s="481"/>
      <c r="G166" s="514"/>
      <c r="H166" s="515"/>
      <c r="I166" s="516"/>
      <c r="M166" s="517"/>
      <c r="N166" s="346" t="str">
        <f>IFERROR(VLOOKUP(G166,Ch1_Storage,2, FALSE),"")</f>
        <v/>
      </c>
    </row>
    <row r="167" ht="18.75" customHeight="1">
      <c r="A167" s="507">
        <f>IFERROR(VLOOKUP(H167,PartyStorage,2, FALSE),0)</f>
        <v>0</v>
      </c>
      <c r="B167" s="531"/>
      <c r="C167" s="487"/>
      <c r="D167" s="521"/>
      <c r="E167" s="509" t="str">
        <f t="shared" si="1"/>
        <v/>
      </c>
      <c r="F167" s="487"/>
      <c r="G167" s="510"/>
      <c r="H167" s="518"/>
      <c r="I167" s="511"/>
      <c r="M167" s="378"/>
      <c r="N167" s="346" t="str">
        <f>IFERROR(VLOOKUP(G167,Ch1_Storage,2, FALSE),"")</f>
        <v/>
      </c>
    </row>
    <row r="168" ht="18.75" customHeight="1">
      <c r="A168" s="507">
        <f>IFERROR(VLOOKUP(H168,PartyStorage,2, FALSE),0)</f>
        <v>0</v>
      </c>
      <c r="B168" s="532"/>
      <c r="C168" s="481"/>
      <c r="D168" s="519"/>
      <c r="E168" s="513" t="str">
        <f t="shared" si="1"/>
        <v/>
      </c>
      <c r="F168" s="481"/>
      <c r="G168" s="514"/>
      <c r="H168" s="515"/>
      <c r="I168" s="516"/>
      <c r="M168" s="517"/>
      <c r="N168" s="346" t="str">
        <f>IFERROR(VLOOKUP(G168,Ch1_Storage,2, FALSE),"")</f>
        <v/>
      </c>
    </row>
    <row r="169" ht="18.75" customHeight="1">
      <c r="A169" s="507">
        <f>IFERROR(VLOOKUP(H169,PartyStorage,2, FALSE),0)</f>
        <v>0</v>
      </c>
      <c r="B169" s="531"/>
      <c r="C169" s="487"/>
      <c r="D169" s="521"/>
      <c r="E169" s="509" t="str">
        <f t="shared" si="1"/>
        <v/>
      </c>
      <c r="F169" s="487"/>
      <c r="G169" s="510"/>
      <c r="H169" s="518"/>
      <c r="I169" s="511"/>
      <c r="M169" s="378"/>
      <c r="N169" s="346" t="str">
        <f>IFERROR(VLOOKUP(G169,Ch1_Storage,2, FALSE),"")</f>
        <v/>
      </c>
    </row>
    <row r="170" ht="18.75" customHeight="1">
      <c r="A170" s="507">
        <f>IFERROR(VLOOKUP(H170,PartyStorage,2, FALSE),0)</f>
        <v>0</v>
      </c>
      <c r="B170" s="532"/>
      <c r="C170" s="481"/>
      <c r="D170" s="519"/>
      <c r="E170" s="513" t="str">
        <f t="shared" si="1"/>
        <v/>
      </c>
      <c r="F170" s="481"/>
      <c r="G170" s="514"/>
      <c r="H170" s="515"/>
      <c r="I170" s="516"/>
      <c r="M170" s="517"/>
      <c r="N170" s="346" t="str">
        <f>IFERROR(VLOOKUP(G170,Ch1_Storage,2, FALSE),"")</f>
        <v/>
      </c>
    </row>
    <row r="171" ht="18.75" customHeight="1">
      <c r="A171" s="507">
        <f>IFERROR(VLOOKUP(H171,PartyStorage,2, FALSE),0)</f>
        <v>0</v>
      </c>
      <c r="B171" s="531"/>
      <c r="C171" s="487"/>
      <c r="D171" s="521"/>
      <c r="E171" s="509" t="str">
        <f t="shared" si="1"/>
        <v/>
      </c>
      <c r="F171" s="487"/>
      <c r="G171" s="510"/>
      <c r="H171" s="518"/>
      <c r="I171" s="511"/>
      <c r="M171" s="378"/>
      <c r="N171" s="346" t="str">
        <f>IFERROR(VLOOKUP(G171,Ch1_Storage,2, FALSE),"")</f>
        <v/>
      </c>
    </row>
    <row r="172" ht="18.75" customHeight="1">
      <c r="A172" s="507">
        <f>IFERROR(VLOOKUP(H172,PartyStorage,2, FALSE),0)</f>
        <v>0</v>
      </c>
      <c r="B172" s="532"/>
      <c r="C172" s="481"/>
      <c r="D172" s="519"/>
      <c r="E172" s="513" t="str">
        <f t="shared" si="1"/>
        <v/>
      </c>
      <c r="F172" s="481"/>
      <c r="G172" s="514"/>
      <c r="H172" s="515"/>
      <c r="I172" s="516"/>
      <c r="M172" s="517"/>
      <c r="N172" s="346" t="str">
        <f>IFERROR(VLOOKUP(G172,Ch1_Storage,2, FALSE),"")</f>
        <v/>
      </c>
    </row>
    <row r="173" ht="18.75" customHeight="1">
      <c r="A173" s="507">
        <f>IFERROR(VLOOKUP(H173,PartyStorage,2, FALSE),0)</f>
        <v>0</v>
      </c>
      <c r="B173" s="531"/>
      <c r="C173" s="487"/>
      <c r="D173" s="521"/>
      <c r="E173" s="509" t="str">
        <f t="shared" si="1"/>
        <v/>
      </c>
      <c r="F173" s="487"/>
      <c r="G173" s="510"/>
      <c r="H173" s="518"/>
      <c r="I173" s="511"/>
      <c r="M173" s="378"/>
      <c r="N173" s="346" t="str">
        <f>IFERROR(VLOOKUP(G173,Ch1_Storage,2, FALSE),"")</f>
        <v/>
      </c>
    </row>
    <row r="174" ht="18.75" customHeight="1">
      <c r="A174" s="507">
        <f>IFERROR(VLOOKUP(H174,PartyStorage,2, FALSE),0)</f>
        <v>0</v>
      </c>
      <c r="B174" s="532"/>
      <c r="C174" s="481"/>
      <c r="D174" s="519"/>
      <c r="E174" s="513" t="str">
        <f t="shared" si="1"/>
        <v/>
      </c>
      <c r="F174" s="481"/>
      <c r="G174" s="514"/>
      <c r="H174" s="515"/>
      <c r="I174" s="516"/>
      <c r="M174" s="517"/>
      <c r="N174" s="346" t="str">
        <f>IFERROR(VLOOKUP(G174,Ch1_Storage,2, FALSE),"")</f>
        <v/>
      </c>
    </row>
    <row r="175" ht="18.75" customHeight="1">
      <c r="A175" s="507">
        <f>IFERROR(VLOOKUP(H175,PartyStorage,2, FALSE),0)</f>
        <v>0</v>
      </c>
      <c r="B175" s="531"/>
      <c r="C175" s="487"/>
      <c r="D175" s="521"/>
      <c r="E175" s="509" t="str">
        <f t="shared" si="1"/>
        <v/>
      </c>
      <c r="F175" s="487"/>
      <c r="G175" s="510"/>
      <c r="H175" s="518"/>
      <c r="I175" s="511"/>
      <c r="M175" s="378"/>
      <c r="N175" s="346" t="str">
        <f>IFERROR(VLOOKUP(G175,Ch1_Storage,2, FALSE),"")</f>
        <v/>
      </c>
    </row>
    <row r="176" ht="18.75" customHeight="1">
      <c r="A176" s="507">
        <f>IFERROR(VLOOKUP(H176,PartyStorage,2, FALSE),0)</f>
        <v>0</v>
      </c>
      <c r="B176" s="532"/>
      <c r="C176" s="481"/>
      <c r="D176" s="519"/>
      <c r="E176" s="513" t="str">
        <f t="shared" si="1"/>
        <v/>
      </c>
      <c r="F176" s="481"/>
      <c r="G176" s="514"/>
      <c r="H176" s="515"/>
      <c r="I176" s="516"/>
      <c r="M176" s="517"/>
      <c r="N176" s="346" t="str">
        <f>IFERROR(VLOOKUP(G176,Ch1_Storage,2, FALSE),"")</f>
        <v/>
      </c>
    </row>
    <row r="177" ht="18.75" customHeight="1">
      <c r="A177" s="507">
        <f>IFERROR(VLOOKUP(H177,PartyStorage,2, FALSE),0)</f>
        <v>0</v>
      </c>
      <c r="B177" s="531"/>
      <c r="C177" s="487"/>
      <c r="D177" s="521"/>
      <c r="E177" s="509" t="str">
        <f t="shared" si="1"/>
        <v/>
      </c>
      <c r="F177" s="487"/>
      <c r="G177" s="510"/>
      <c r="H177" s="518"/>
      <c r="I177" s="511"/>
      <c r="M177" s="378"/>
      <c r="N177" s="346" t="str">
        <f>IFERROR(VLOOKUP(G177,Ch1_Storage,2, FALSE),"")</f>
        <v/>
      </c>
    </row>
    <row r="178" ht="18.75" customHeight="1">
      <c r="A178" s="507">
        <f>IFERROR(VLOOKUP(H178,PartyStorage,2, FALSE),0)</f>
        <v>0</v>
      </c>
      <c r="B178" s="532"/>
      <c r="C178" s="481"/>
      <c r="D178" s="519"/>
      <c r="E178" s="513" t="str">
        <f t="shared" si="1"/>
        <v/>
      </c>
      <c r="F178" s="481"/>
      <c r="G178" s="514"/>
      <c r="H178" s="515"/>
      <c r="I178" s="516"/>
      <c r="M178" s="517"/>
      <c r="N178" s="346" t="str">
        <f>IFERROR(VLOOKUP(G178,Ch1_Storage,2, FALSE),"")</f>
        <v/>
      </c>
    </row>
    <row r="179" ht="18.75" customHeight="1">
      <c r="A179" s="507">
        <f>IFERROR(VLOOKUP(H179,PartyStorage,2, FALSE),0)</f>
        <v>0</v>
      </c>
      <c r="B179" s="531"/>
      <c r="C179" s="487"/>
      <c r="D179" s="521"/>
      <c r="E179" s="509" t="str">
        <f t="shared" si="1"/>
        <v/>
      </c>
      <c r="F179" s="487"/>
      <c r="G179" s="510"/>
      <c r="H179" s="518"/>
      <c r="I179" s="511"/>
      <c r="M179" s="378"/>
      <c r="N179" s="346" t="str">
        <f>IFERROR(VLOOKUP(G179,Ch1_Storage,2, FALSE),"")</f>
        <v/>
      </c>
    </row>
    <row r="180" ht="18.75" customHeight="1">
      <c r="A180" s="507">
        <f>IFERROR(VLOOKUP(H180,PartyStorage,2, FALSE),0)</f>
        <v>0</v>
      </c>
      <c r="B180" s="532"/>
      <c r="C180" s="481"/>
      <c r="D180" s="519"/>
      <c r="E180" s="513" t="str">
        <f t="shared" si="1"/>
        <v/>
      </c>
      <c r="F180" s="481"/>
      <c r="G180" s="514"/>
      <c r="H180" s="515"/>
      <c r="I180" s="516"/>
      <c r="M180" s="517"/>
      <c r="N180" s="346" t="str">
        <f>IFERROR(VLOOKUP(G180,Ch1_Storage,2, FALSE),"")</f>
        <v/>
      </c>
    </row>
    <row r="181" ht="18.75" customHeight="1">
      <c r="A181" s="507">
        <f>IFERROR(VLOOKUP(H181,PartyStorage,2, FALSE),0)</f>
        <v>0</v>
      </c>
      <c r="B181" s="531"/>
      <c r="C181" s="487"/>
      <c r="D181" s="521"/>
      <c r="E181" s="509" t="str">
        <f t="shared" si="1"/>
        <v/>
      </c>
      <c r="F181" s="487"/>
      <c r="G181" s="510"/>
      <c r="H181" s="518"/>
      <c r="I181" s="511"/>
      <c r="M181" s="378"/>
      <c r="N181" s="346" t="str">
        <f>IFERROR(VLOOKUP(G181,Ch1_Storage,2, FALSE),"")</f>
        <v/>
      </c>
    </row>
    <row r="182" ht="18.75" customHeight="1">
      <c r="A182" s="507">
        <f>IFERROR(VLOOKUP(H182,PartyStorage,2, FALSE),0)</f>
        <v>0</v>
      </c>
      <c r="B182" s="532"/>
      <c r="C182" s="481"/>
      <c r="D182" s="519"/>
      <c r="E182" s="513" t="str">
        <f t="shared" si="1"/>
        <v/>
      </c>
      <c r="F182" s="481"/>
      <c r="G182" s="514"/>
      <c r="H182" s="515"/>
      <c r="I182" s="516"/>
      <c r="M182" s="517"/>
      <c r="N182" s="346" t="str">
        <f>IFERROR(VLOOKUP(G182,Ch1_Storage,2, FALSE),"")</f>
        <v/>
      </c>
    </row>
    <row r="183" ht="18.75" customHeight="1">
      <c r="A183" s="507">
        <f>IFERROR(VLOOKUP(H183,PartyStorage,2, FALSE),0)</f>
        <v>0</v>
      </c>
      <c r="B183" s="531"/>
      <c r="C183" s="487"/>
      <c r="D183" s="521"/>
      <c r="E183" s="509" t="str">
        <f t="shared" si="1"/>
        <v/>
      </c>
      <c r="F183" s="487"/>
      <c r="G183" s="510"/>
      <c r="H183" s="518"/>
      <c r="I183" s="511"/>
      <c r="M183" s="378"/>
      <c r="N183" s="346" t="str">
        <f>IFERROR(VLOOKUP(G183,Ch1_Storage,2, FALSE),"")</f>
        <v/>
      </c>
    </row>
    <row r="184" ht="18.75" customHeight="1">
      <c r="A184" s="507">
        <f>IFERROR(VLOOKUP(H184,PartyStorage,2, FALSE),0)</f>
        <v>0</v>
      </c>
      <c r="B184" s="532"/>
      <c r="C184" s="481"/>
      <c r="D184" s="519"/>
      <c r="E184" s="513" t="str">
        <f t="shared" si="1"/>
        <v/>
      </c>
      <c r="F184" s="481"/>
      <c r="G184" s="514"/>
      <c r="H184" s="515"/>
      <c r="I184" s="516"/>
      <c r="M184" s="517"/>
      <c r="N184" s="346" t="str">
        <f>IFERROR(VLOOKUP(G184,Ch1_Storage,2, FALSE),"")</f>
        <v/>
      </c>
    </row>
    <row r="185" ht="18.75" customHeight="1">
      <c r="A185" s="507">
        <f>IFERROR(VLOOKUP(H185,PartyStorage,2, FALSE),0)</f>
        <v>0</v>
      </c>
      <c r="B185" s="531"/>
      <c r="C185" s="487"/>
      <c r="D185" s="521"/>
      <c r="E185" s="509" t="str">
        <f t="shared" si="1"/>
        <v/>
      </c>
      <c r="F185" s="487"/>
      <c r="G185" s="510"/>
      <c r="H185" s="518"/>
      <c r="I185" s="511"/>
      <c r="M185" s="378"/>
      <c r="N185" s="346" t="str">
        <f>IFERROR(VLOOKUP(G185,Ch1_Storage,2, FALSE),"")</f>
        <v/>
      </c>
    </row>
    <row r="186" ht="18.75" customHeight="1">
      <c r="A186" s="507">
        <f>IFERROR(VLOOKUP(H186,PartyStorage,2, FALSE),0)</f>
        <v>0</v>
      </c>
      <c r="B186" s="532"/>
      <c r="C186" s="481"/>
      <c r="D186" s="519"/>
      <c r="E186" s="513" t="str">
        <f t="shared" si="1"/>
        <v/>
      </c>
      <c r="F186" s="481"/>
      <c r="G186" s="514"/>
      <c r="H186" s="515"/>
      <c r="I186" s="516"/>
      <c r="M186" s="517"/>
      <c r="N186" s="346" t="str">
        <f>IFERROR(VLOOKUP(G186,Ch1_Storage,2, FALSE),"")</f>
        <v/>
      </c>
    </row>
    <row r="187" ht="18.75" customHeight="1">
      <c r="A187" s="507">
        <f>IFERROR(VLOOKUP(H187,PartyStorage,2, FALSE),0)</f>
        <v>0</v>
      </c>
      <c r="B187" s="531"/>
      <c r="C187" s="487"/>
      <c r="D187" s="521"/>
      <c r="E187" s="509" t="str">
        <f t="shared" si="1"/>
        <v/>
      </c>
      <c r="F187" s="487"/>
      <c r="G187" s="510"/>
      <c r="H187" s="518"/>
      <c r="I187" s="511"/>
      <c r="M187" s="378"/>
      <c r="N187" s="346" t="str">
        <f>IFERROR(VLOOKUP(G187,Ch1_Storage,2, FALSE),"")</f>
        <v/>
      </c>
    </row>
    <row r="188" ht="18.75" customHeight="1">
      <c r="A188" s="507">
        <f>IFERROR(VLOOKUP(H188,PartyStorage,2, FALSE),0)</f>
        <v>0</v>
      </c>
      <c r="B188" s="532"/>
      <c r="C188" s="481"/>
      <c r="D188" s="519"/>
      <c r="E188" s="513" t="str">
        <f t="shared" si="1"/>
        <v/>
      </c>
      <c r="F188" s="481"/>
      <c r="G188" s="514"/>
      <c r="H188" s="515"/>
      <c r="I188" s="516"/>
      <c r="M188" s="517"/>
      <c r="N188" s="346" t="str">
        <f>IFERROR(VLOOKUP(G188,Ch1_Storage,2, FALSE),"")</f>
        <v/>
      </c>
    </row>
    <row r="189" ht="18.75" customHeight="1">
      <c r="A189" s="507">
        <f>IFERROR(VLOOKUP(H189,PartyStorage,2, FALSE),0)</f>
        <v>0</v>
      </c>
      <c r="B189" s="531"/>
      <c r="C189" s="487"/>
      <c r="D189" s="521"/>
      <c r="E189" s="509" t="str">
        <f t="shared" si="1"/>
        <v/>
      </c>
      <c r="F189" s="487"/>
      <c r="G189" s="510"/>
      <c r="H189" s="518"/>
      <c r="I189" s="511"/>
      <c r="M189" s="378"/>
      <c r="N189" s="346" t="str">
        <f>IFERROR(VLOOKUP(G189,Ch1_Storage,2, FALSE),"")</f>
        <v/>
      </c>
    </row>
    <row r="190" ht="18.75" customHeight="1">
      <c r="A190" s="507">
        <f>IFERROR(VLOOKUP(H190,PartyStorage,2, FALSE),0)</f>
        <v>0</v>
      </c>
      <c r="B190" s="532"/>
      <c r="C190" s="481"/>
      <c r="D190" s="519"/>
      <c r="E190" s="513" t="str">
        <f t="shared" si="1"/>
        <v/>
      </c>
      <c r="F190" s="481"/>
      <c r="G190" s="514"/>
      <c r="H190" s="515"/>
      <c r="I190" s="516"/>
      <c r="M190" s="517"/>
      <c r="N190" s="346" t="str">
        <f>IFERROR(VLOOKUP(G190,Ch1_Storage,2, FALSE),"")</f>
        <v/>
      </c>
    </row>
    <row r="191" ht="18.75" customHeight="1">
      <c r="A191" s="507">
        <f>IFERROR(VLOOKUP(H191,PartyStorage,2, FALSE),0)</f>
        <v>0</v>
      </c>
      <c r="B191" s="531"/>
      <c r="C191" s="487"/>
      <c r="D191" s="521"/>
      <c r="E191" s="509" t="str">
        <f t="shared" si="1"/>
        <v/>
      </c>
      <c r="F191" s="487"/>
      <c r="G191" s="510"/>
      <c r="H191" s="518"/>
      <c r="I191" s="511"/>
      <c r="M191" s="378"/>
      <c r="N191" s="346" t="str">
        <f>IFERROR(VLOOKUP(G191,Ch1_Storage,2, FALSE),"")</f>
        <v/>
      </c>
    </row>
    <row r="192" ht="18.75" customHeight="1">
      <c r="A192" s="507">
        <f>IFERROR(VLOOKUP(H192,PartyStorage,2, FALSE),0)</f>
        <v>0</v>
      </c>
      <c r="B192" s="532"/>
      <c r="C192" s="481"/>
      <c r="D192" s="519"/>
      <c r="E192" s="513" t="str">
        <f t="shared" si="1"/>
        <v/>
      </c>
      <c r="F192" s="481"/>
      <c r="G192" s="514"/>
      <c r="H192" s="515"/>
      <c r="I192" s="516"/>
      <c r="M192" s="517"/>
      <c r="N192" s="346" t="str">
        <f>IFERROR(VLOOKUP(G192,Ch1_Storage,2, FALSE),"")</f>
        <v/>
      </c>
    </row>
    <row r="193" ht="18.75" customHeight="1">
      <c r="A193" s="507">
        <f>IFERROR(VLOOKUP(H193,PartyStorage,2, FALSE),0)</f>
        <v>0</v>
      </c>
      <c r="B193" s="531"/>
      <c r="C193" s="487"/>
      <c r="D193" s="521"/>
      <c r="E193" s="509" t="str">
        <f t="shared" si="1"/>
        <v/>
      </c>
      <c r="F193" s="487"/>
      <c r="G193" s="510"/>
      <c r="H193" s="518"/>
      <c r="I193" s="511"/>
      <c r="M193" s="378"/>
      <c r="N193" s="346" t="str">
        <f>IFERROR(VLOOKUP(G193,Ch1_Storage,2, FALSE),"")</f>
        <v/>
      </c>
    </row>
    <row r="194" ht="18.75" customHeight="1">
      <c r="A194" s="507">
        <f>IFERROR(VLOOKUP(H194,PartyStorage,2, FALSE),0)</f>
        <v>0</v>
      </c>
      <c r="B194" s="532"/>
      <c r="C194" s="481"/>
      <c r="D194" s="519"/>
      <c r="E194" s="513" t="str">
        <f t="shared" si="1"/>
        <v/>
      </c>
      <c r="F194" s="481"/>
      <c r="G194" s="514"/>
      <c r="H194" s="515"/>
      <c r="I194" s="516"/>
      <c r="M194" s="517"/>
      <c r="N194" s="346" t="str">
        <f>IFERROR(VLOOKUP(G194,Ch1_Storage,2, FALSE),"")</f>
        <v/>
      </c>
    </row>
    <row r="195" ht="18.75" customHeight="1">
      <c r="A195" s="507">
        <f>IFERROR(VLOOKUP(H195,PartyStorage,2, FALSE),0)</f>
        <v>0</v>
      </c>
      <c r="B195" s="531"/>
      <c r="C195" s="487"/>
      <c r="D195" s="521"/>
      <c r="E195" s="509" t="str">
        <f t="shared" si="1"/>
        <v/>
      </c>
      <c r="F195" s="487"/>
      <c r="G195" s="510"/>
      <c r="H195" s="518"/>
      <c r="I195" s="511"/>
      <c r="M195" s="378"/>
      <c r="N195" s="346" t="str">
        <f>IFERROR(VLOOKUP(G195,Ch1_Storage,2, FALSE),"")</f>
        <v/>
      </c>
    </row>
    <row r="196" ht="18.75" customHeight="1">
      <c r="A196" s="507">
        <f>IFERROR(VLOOKUP(H196,PartyStorage,2, FALSE),0)</f>
        <v>0</v>
      </c>
      <c r="B196" s="532"/>
      <c r="C196" s="481"/>
      <c r="D196" s="519"/>
      <c r="E196" s="513" t="str">
        <f t="shared" si="1"/>
        <v/>
      </c>
      <c r="F196" s="481"/>
      <c r="G196" s="514"/>
      <c r="H196" s="515"/>
      <c r="I196" s="516"/>
      <c r="M196" s="517"/>
      <c r="N196" s="346" t="str">
        <f>IFERROR(VLOOKUP(G196,Ch1_Storage,2, FALSE),"")</f>
        <v/>
      </c>
    </row>
    <row r="197" ht="18.75" customHeight="1">
      <c r="A197" s="507">
        <f>IFERROR(VLOOKUP(H197,PartyStorage,2, FALSE),0)</f>
        <v>0</v>
      </c>
      <c r="B197" s="531"/>
      <c r="C197" s="487"/>
      <c r="D197" s="521"/>
      <c r="E197" s="509" t="str">
        <f t="shared" si="1"/>
        <v/>
      </c>
      <c r="F197" s="487"/>
      <c r="G197" s="510"/>
      <c r="H197" s="518"/>
      <c r="I197" s="511"/>
      <c r="M197" s="378"/>
      <c r="N197" s="346" t="str">
        <f>IFERROR(VLOOKUP(G197,Ch1_Storage,2, FALSE),"")</f>
        <v/>
      </c>
    </row>
    <row r="198" ht="18.75" customHeight="1">
      <c r="A198" s="507">
        <f>IFERROR(VLOOKUP(H198,PartyStorage,2, FALSE),0)</f>
        <v>0</v>
      </c>
      <c r="B198" s="532"/>
      <c r="C198" s="481"/>
      <c r="D198" s="519"/>
      <c r="E198" s="513" t="str">
        <f t="shared" si="1"/>
        <v/>
      </c>
      <c r="F198" s="481"/>
      <c r="G198" s="514"/>
      <c r="H198" s="515"/>
      <c r="I198" s="516"/>
      <c r="M198" s="517"/>
      <c r="N198" s="346" t="str">
        <f>IFERROR(VLOOKUP(G198,Ch1_Storage,2, FALSE),"")</f>
        <v/>
      </c>
    </row>
    <row r="199" ht="18.75" customHeight="1">
      <c r="A199" s="507">
        <f>IFERROR(VLOOKUP(H199,PartyStorage,2, FALSE),0)</f>
        <v>0</v>
      </c>
      <c r="B199" s="531"/>
      <c r="C199" s="487"/>
      <c r="D199" s="521"/>
      <c r="E199" s="509" t="str">
        <f t="shared" si="1"/>
        <v/>
      </c>
      <c r="F199" s="487"/>
      <c r="G199" s="510"/>
      <c r="H199" s="518"/>
      <c r="I199" s="511"/>
      <c r="M199" s="378"/>
      <c r="N199" s="346" t="str">
        <f>IFERROR(VLOOKUP(G199,Ch1_Storage,2, FALSE),"")</f>
        <v/>
      </c>
    </row>
    <row r="200" ht="18.75" customHeight="1">
      <c r="A200" s="507">
        <f>IFERROR(VLOOKUP(H200,PartyStorage,2, FALSE),0)</f>
        <v>0</v>
      </c>
      <c r="B200" s="532"/>
      <c r="C200" s="481"/>
      <c r="D200" s="519"/>
      <c r="E200" s="513" t="str">
        <f t="shared" si="1"/>
        <v/>
      </c>
      <c r="F200" s="481"/>
      <c r="G200" s="514"/>
      <c r="H200" s="515"/>
      <c r="I200" s="516"/>
      <c r="M200" s="517"/>
      <c r="N200" s="346" t="str">
        <f>IFERROR(VLOOKUP(G200,Ch1_Storage,2, FALSE),"")</f>
        <v/>
      </c>
    </row>
    <row r="201" ht="18.75" customHeight="1">
      <c r="A201" s="507">
        <f>IFERROR(VLOOKUP(H201,PartyStorage,2, FALSE),0)</f>
        <v>0</v>
      </c>
      <c r="B201" s="531"/>
      <c r="C201" s="487"/>
      <c r="D201" s="521"/>
      <c r="E201" s="509" t="str">
        <f t="shared" si="1"/>
        <v/>
      </c>
      <c r="F201" s="487"/>
      <c r="G201" s="510"/>
      <c r="H201" s="518"/>
      <c r="I201" s="511"/>
      <c r="M201" s="378"/>
      <c r="N201" s="346" t="str">
        <f>IFERROR(VLOOKUP(G201,Ch1_Storage,2, FALSE),"")</f>
        <v/>
      </c>
    </row>
    <row r="202" ht="18.75" customHeight="1">
      <c r="A202" s="507">
        <f>IFERROR(VLOOKUP(H202,PartyStorage,2, FALSE),0)</f>
        <v>0</v>
      </c>
      <c r="B202" s="532"/>
      <c r="C202" s="481"/>
      <c r="D202" s="519"/>
      <c r="E202" s="513" t="str">
        <f t="shared" si="1"/>
        <v/>
      </c>
      <c r="F202" s="481"/>
      <c r="G202" s="514"/>
      <c r="H202" s="515"/>
      <c r="I202" s="516"/>
      <c r="M202" s="517"/>
      <c r="N202" s="346" t="str">
        <f>IFERROR(VLOOKUP(G202,Ch1_Storage,2, FALSE),"")</f>
        <v/>
      </c>
    </row>
    <row r="203" ht="18.75" customHeight="1">
      <c r="A203" s="507">
        <f>IFERROR(VLOOKUP(H203,PartyStorage,2, FALSE),0)</f>
        <v>0</v>
      </c>
      <c r="B203" s="531"/>
      <c r="C203" s="487"/>
      <c r="D203" s="521"/>
      <c r="E203" s="509" t="str">
        <f t="shared" si="1"/>
        <v/>
      </c>
      <c r="F203" s="487"/>
      <c r="G203" s="510"/>
      <c r="H203" s="518"/>
      <c r="I203" s="511"/>
      <c r="M203" s="378"/>
      <c r="N203" s="346" t="str">
        <f>IFERROR(VLOOKUP(G203,Ch1_Storage,2, FALSE),"")</f>
        <v/>
      </c>
    </row>
    <row r="204" ht="18.75" customHeight="1">
      <c r="A204" s="507">
        <f>IFERROR(VLOOKUP(H204,PartyStorage,2, FALSE),0)</f>
        <v>0</v>
      </c>
      <c r="B204" s="532"/>
      <c r="C204" s="481"/>
      <c r="D204" s="519"/>
      <c r="E204" s="513" t="str">
        <f t="shared" si="1"/>
        <v/>
      </c>
      <c r="F204" s="481"/>
      <c r="G204" s="514"/>
      <c r="H204" s="515"/>
      <c r="I204" s="516"/>
      <c r="M204" s="517"/>
      <c r="N204" s="346" t="str">
        <f>IFERROR(VLOOKUP(G204,Ch1_Storage,2, FALSE),"")</f>
        <v/>
      </c>
    </row>
    <row r="205" ht="18.75" customHeight="1">
      <c r="A205" s="507">
        <f>IFERROR(VLOOKUP(H205,PartyStorage,2, FALSE),0)</f>
        <v>0</v>
      </c>
      <c r="B205" s="531"/>
      <c r="C205" s="487"/>
      <c r="D205" s="521"/>
      <c r="E205" s="509" t="str">
        <f t="shared" si="1"/>
        <v/>
      </c>
      <c r="F205" s="487"/>
      <c r="G205" s="510"/>
      <c r="H205" s="518"/>
      <c r="I205" s="511"/>
      <c r="M205" s="378"/>
      <c r="N205" s="346" t="str">
        <f>IFERROR(VLOOKUP(G205,Ch1_Storage,2, FALSE),"")</f>
        <v/>
      </c>
    </row>
    <row r="206" ht="18.75" customHeight="1">
      <c r="A206" s="507">
        <f>IFERROR(VLOOKUP(H206,PartyStorage,2, FALSE),0)</f>
        <v>0</v>
      </c>
      <c r="B206" s="532"/>
      <c r="C206" s="481"/>
      <c r="D206" s="519"/>
      <c r="E206" s="513" t="str">
        <f t="shared" si="1"/>
        <v/>
      </c>
      <c r="F206" s="481"/>
      <c r="G206" s="514"/>
      <c r="H206" s="515"/>
      <c r="I206" s="516"/>
      <c r="M206" s="517"/>
      <c r="N206" s="346" t="str">
        <f>IFERROR(VLOOKUP(G206,Ch1_Storage,2, FALSE),"")</f>
        <v/>
      </c>
    </row>
    <row r="207" ht="18.75" customHeight="1">
      <c r="A207" s="507">
        <f>IFERROR(VLOOKUP(H207,PartyStorage,2, FALSE),0)</f>
        <v>0</v>
      </c>
      <c r="B207" s="531"/>
      <c r="C207" s="487"/>
      <c r="D207" s="521"/>
      <c r="E207" s="509" t="str">
        <f t="shared" si="1"/>
        <v/>
      </c>
      <c r="F207" s="487"/>
      <c r="G207" s="510"/>
      <c r="H207" s="518"/>
      <c r="I207" s="511"/>
      <c r="M207" s="378"/>
      <c r="N207" s="346" t="str">
        <f>IFERROR(VLOOKUP(G207,Ch1_Storage,2, FALSE),"")</f>
        <v/>
      </c>
    </row>
    <row r="208" ht="18.75" customHeight="1">
      <c r="A208" s="507">
        <f>IFERROR(VLOOKUP(H208,PartyStorage,2, FALSE),0)</f>
        <v>0</v>
      </c>
      <c r="B208" s="533"/>
      <c r="C208" s="492"/>
      <c r="D208" s="534"/>
      <c r="E208" s="535" t="str">
        <f t="shared" si="1"/>
        <v/>
      </c>
      <c r="F208" s="492"/>
      <c r="G208" s="536"/>
      <c r="H208" s="537"/>
      <c r="I208" s="538"/>
      <c r="J208" s="539"/>
      <c r="K208" s="539"/>
      <c r="L208" s="539"/>
      <c r="M208" s="540"/>
      <c r="N208" s="346" t="str">
        <f>IFERROR(VLOOKUP(G208,Ch1_Storage,2, FALSE),"")</f>
        <v/>
      </c>
    </row>
    <row r="209" ht="7.5" customHeight="1">
      <c r="A209" s="17"/>
      <c r="B209" s="261"/>
      <c r="C209" s="261"/>
      <c r="D209" s="261"/>
      <c r="E209" s="261"/>
      <c r="F209" s="261"/>
      <c r="G209" s="261"/>
      <c r="H209" s="261"/>
      <c r="I209" s="261"/>
      <c r="J209" s="261"/>
      <c r="K209" s="261"/>
      <c r="L209" s="261"/>
      <c r="M209" s="261"/>
      <c r="N209" s="346"/>
    </row>
  </sheetData>
  <mergeCells count="198">
    <mergeCell ref="B4:C4"/>
    <mergeCell ref="B5:C5"/>
    <mergeCell ref="B3:C3"/>
    <mergeCell ref="B6:C6"/>
    <mergeCell ref="B17:C17"/>
    <mergeCell ref="B2:D2"/>
    <mergeCell ref="B7:C7"/>
    <mergeCell ref="B9:C9"/>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44:M144"/>
    <mergeCell ref="I201:M201"/>
    <mergeCell ref="I202:M202"/>
    <mergeCell ref="I203:M203"/>
    <mergeCell ref="I204:M204"/>
    <mergeCell ref="I205:M205"/>
    <mergeCell ref="I206:M206"/>
    <mergeCell ref="I207:M207"/>
    <mergeCell ref="I208:M208"/>
    <mergeCell ref="I194:M194"/>
    <mergeCell ref="I195:M195"/>
    <mergeCell ref="I196:M196"/>
    <mergeCell ref="I197:M197"/>
    <mergeCell ref="I198:M198"/>
    <mergeCell ref="I199:M199"/>
    <mergeCell ref="I200:M200"/>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 ref="I193:M193"/>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1" priority="4">
      <formula>IF($N$2="",true,false)</formula>
    </cfRule>
  </conditionalFormatting>
  <conditionalFormatting sqref="K3:M7">
    <cfRule type="expression" dxfId="29" priority="5">
      <formula>IF($N$2="",true,false)</formula>
    </cfRule>
  </conditionalFormatting>
  <dataValidations>
    <dataValidation type="list" allowBlank="1" showInputMessage="1" showErrorMessage="1" prompt="Every item must have a PC or party storage location" sqref="G27:G208">
      <formula1>'Character Info'!$L$6:$L$15</formula1>
    </dataValidation>
    <dataValidation type="list" allowBlank="1" showErrorMessage="1" sqref="H27:H208">
      <formula1>PartyStorageSingle</formula1>
    </dataValidation>
  </dataValidations>
  <hyperlinks>
    <hyperlink r:id="rId2" ref="E1"/>
    <hyperlink r:id="rId3" ref="I1"/>
  </hyperlinks>
  <drawing r:id="rId4"/>
  <legacyDrawing r:id="rId5"/>
  <tableParts count="2">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5818E"/>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s>
  <sheetData>
    <row r="1" ht="7.5" customHeight="1">
      <c r="A1" s="436" t="str">
        <f>Ch5_Name</f>
        <v/>
      </c>
      <c r="B1" s="437"/>
      <c r="C1" s="438"/>
      <c r="D1" s="438"/>
      <c r="E1" s="541" t="s">
        <v>62</v>
      </c>
      <c r="G1" s="439"/>
      <c r="H1" s="439"/>
      <c r="I1" s="542" t="s">
        <v>63</v>
      </c>
      <c r="K1" s="439"/>
      <c r="L1" s="439"/>
      <c r="M1" s="439"/>
      <c r="N1" s="439"/>
    </row>
    <row r="2" ht="18.75" customHeight="1">
      <c r="A2" s="543" t="str">
        <f>IF(ISBLANK(Ch5_Size),"",VLOOKUP(Ch5_Size,SizeMultipliers,2, FALSE))</f>
        <v/>
      </c>
      <c r="B2" s="544" t="s">
        <v>64</v>
      </c>
      <c r="C2" s="545"/>
      <c r="D2" s="546"/>
      <c r="E2" s="547" t="str">
        <f>IMAGE(E1,1)</f>
        <v/>
      </c>
      <c r="G2" s="548" t="s">
        <v>65</v>
      </c>
      <c r="H2" s="549"/>
      <c r="I2" s="446" t="str">
        <f>IMAGE(I1,1)</f>
        <v/>
      </c>
      <c r="K2" s="544" t="str">
        <f>IF(ISBLANK(Ch5_MountName),"Mount",Ch5_MountName)&amp;"'s Encumbrance"</f>
        <v>Mount's Encumbrance</v>
      </c>
      <c r="L2" s="135"/>
      <c r="M2" s="136"/>
      <c r="N2" s="348" t="str">
        <f>IF(ISBLANK(Ch5_MountSize),"",VLOOKUP(Ch5_MountSize,SizeMultipliers,2, FALSE))</f>
        <v/>
      </c>
    </row>
    <row r="3" ht="18.75" customHeight="1">
      <c r="A3" s="289"/>
      <c r="B3" s="352" t="s">
        <v>53</v>
      </c>
      <c r="C3" s="353"/>
      <c r="D3" s="550">
        <f>Ch5_Str*Ch5_SizeMultiplier*5</f>
        <v>0</v>
      </c>
      <c r="G3" s="551" t="s">
        <v>66</v>
      </c>
      <c r="H3" s="552"/>
      <c r="K3" s="352" t="s">
        <v>53</v>
      </c>
      <c r="L3" s="353"/>
      <c r="M3" s="550">
        <f>Ch5_MountStr*Ch5_MountSizeMult*5</f>
        <v>0</v>
      </c>
      <c r="N3" s="553"/>
    </row>
    <row r="4" ht="18.75" customHeight="1">
      <c r="A4" s="289"/>
      <c r="B4" s="554" t="s">
        <v>55</v>
      </c>
      <c r="C4" s="555"/>
      <c r="D4" s="556">
        <f>Ch5_Str*Ch5_SizeMultiplier*10</f>
        <v>0</v>
      </c>
      <c r="G4" s="557" t="s">
        <v>67</v>
      </c>
      <c r="H4" s="558">
        <f>(VLOOKUP(ADD(Ch5_Level,1),XPTable_v,2))-Ch5_XP</f>
        <v>300</v>
      </c>
      <c r="K4" s="554" t="s">
        <v>55</v>
      </c>
      <c r="L4" s="555"/>
      <c r="M4" s="556">
        <f>Ch5_MountStr*Ch5_MountSizeMult*10</f>
        <v>0</v>
      </c>
      <c r="N4" s="553"/>
    </row>
    <row r="5" ht="18.75" customHeight="1">
      <c r="A5" s="289"/>
      <c r="B5" s="352" t="s">
        <v>17</v>
      </c>
      <c r="C5" s="353"/>
      <c r="D5" s="550">
        <f>Ch5_Str*Ch5_SizeMultiplier*15</f>
        <v>0</v>
      </c>
      <c r="G5" s="559" t="s">
        <v>68</v>
      </c>
      <c r="H5" s="560">
        <f>MATCH(Ch5_XP,XPTable_m,2)</f>
        <v>1</v>
      </c>
      <c r="K5" s="352" t="s">
        <v>17</v>
      </c>
      <c r="L5" s="353"/>
      <c r="M5" s="550">
        <f>Ch5_MountStr*Ch5_MountSizeMult*15</f>
        <v>0</v>
      </c>
      <c r="N5" s="553"/>
    </row>
    <row r="6" ht="18.75" customHeight="1">
      <c r="A6" s="289"/>
      <c r="B6" s="554" t="s">
        <v>57</v>
      </c>
      <c r="C6" s="555"/>
      <c r="D6" s="556">
        <f>Ch5_Str*Ch5_SizeMultiplier*30</f>
        <v>0</v>
      </c>
      <c r="G6" s="17"/>
      <c r="H6" s="17"/>
      <c r="K6" s="554" t="s">
        <v>57</v>
      </c>
      <c r="L6" s="555"/>
      <c r="M6" s="556">
        <f>Ch5_MountStr*Ch5_MountSizeMult*30</f>
        <v>0</v>
      </c>
      <c r="N6" s="553"/>
    </row>
    <row r="7" ht="18.75" customHeight="1">
      <c r="A7" s="289"/>
      <c r="B7" s="457" t="s">
        <v>43</v>
      </c>
      <c r="C7" s="561"/>
      <c r="D7" s="562">
        <f t="array" ref="D7">SUMIF(Ch5_EquipStatus,"=On Character",Ch5_InventoryWeights)</f>
        <v>0</v>
      </c>
      <c r="G7" s="563" t="s">
        <v>30</v>
      </c>
      <c r="H7" s="461">
        <f>SUM(G11:G15,G19:G24)</f>
        <v>0</v>
      </c>
      <c r="K7" s="369" t="s">
        <v>43</v>
      </c>
      <c r="L7" s="561"/>
      <c r="M7" s="564">
        <f t="array" ref="M7">SUMIF(Ch5_EquipStatus,"=On Mount", Ch5_InventoryWeights)++IF( NOT(EQ(N2,"")),D7+Ch5_Weight,0)</f>
        <v>0</v>
      </c>
      <c r="N7" s="553"/>
    </row>
    <row r="8" ht="7.5" customHeight="1">
      <c r="A8" s="289"/>
      <c r="B8" s="463"/>
      <c r="C8" s="464"/>
      <c r="D8" s="465"/>
      <c r="E8" s="464"/>
      <c r="F8" s="464"/>
      <c r="G8" s="464"/>
      <c r="H8" s="464"/>
      <c r="I8" s="466"/>
      <c r="J8" s="467"/>
      <c r="K8" s="467"/>
      <c r="L8" s="467"/>
      <c r="M8" s="467"/>
      <c r="N8" s="553"/>
    </row>
    <row r="9" ht="18.75" customHeight="1">
      <c r="A9" s="289"/>
      <c r="B9" s="565" t="s">
        <v>28</v>
      </c>
      <c r="C9" s="566"/>
      <c r="D9" s="567" t="s">
        <v>29</v>
      </c>
      <c r="E9" s="568"/>
      <c r="F9" s="568"/>
      <c r="G9" s="568"/>
      <c r="H9" s="568"/>
      <c r="I9" s="569"/>
      <c r="J9" s="570"/>
      <c r="K9" s="570"/>
      <c r="L9" s="571"/>
      <c r="M9" s="572"/>
      <c r="N9" s="553"/>
    </row>
    <row r="10" ht="18.75" customHeight="1">
      <c r="A10" s="289"/>
      <c r="B10" s="573" t="s">
        <v>31</v>
      </c>
      <c r="C10" s="574" t="s">
        <v>11</v>
      </c>
      <c r="D10" s="574" t="s">
        <v>32</v>
      </c>
      <c r="E10" s="574" t="s">
        <v>33</v>
      </c>
      <c r="F10" s="574" t="s">
        <v>34</v>
      </c>
      <c r="G10" s="574" t="s">
        <v>35</v>
      </c>
      <c r="H10" s="574" t="s">
        <v>36</v>
      </c>
      <c r="I10" s="574" t="s">
        <v>37</v>
      </c>
      <c r="J10" s="574" t="s">
        <v>38</v>
      </c>
      <c r="K10" s="574" t="s">
        <v>39</v>
      </c>
      <c r="L10" s="574" t="s">
        <v>40</v>
      </c>
      <c r="M10" s="575" t="s">
        <v>41</v>
      </c>
      <c r="N10" s="329"/>
    </row>
    <row r="11" ht="18.75" customHeight="1">
      <c r="A11" s="289"/>
      <c r="B11" s="576"/>
      <c r="C11" s="577" t="s">
        <v>42</v>
      </c>
      <c r="D11" s="578" t="str">
        <f>B11</f>
        <v/>
      </c>
      <c r="E11" s="579">
        <f>B11/10</f>
        <v>0</v>
      </c>
      <c r="F11" s="579">
        <f>B11/50</f>
        <v>0</v>
      </c>
      <c r="G11" s="579">
        <f>B11/100</f>
        <v>0</v>
      </c>
      <c r="H11" s="579">
        <f>B11/1000</f>
        <v>0</v>
      </c>
      <c r="I11" s="580">
        <f>B11/5000</f>
        <v>0</v>
      </c>
      <c r="J11" s="581">
        <f>B11/10000</f>
        <v>0</v>
      </c>
      <c r="K11" s="581">
        <f>B11/50000</f>
        <v>0</v>
      </c>
      <c r="L11" s="581">
        <f>B11/100000</f>
        <v>0</v>
      </c>
      <c r="M11" s="582">
        <f>B11/500000</f>
        <v>0</v>
      </c>
      <c r="N11" s="553"/>
    </row>
    <row r="12" ht="18.75" customHeight="1">
      <c r="A12" s="289"/>
      <c r="B12" s="576"/>
      <c r="C12" s="577" t="s">
        <v>44</v>
      </c>
      <c r="D12" s="579">
        <f>B12*10</f>
        <v>0</v>
      </c>
      <c r="E12" s="578" t="str">
        <f>B12</f>
        <v/>
      </c>
      <c r="F12" s="579">
        <f>B12/5</f>
        <v>0</v>
      </c>
      <c r="G12" s="579">
        <f>B12/10</f>
        <v>0</v>
      </c>
      <c r="H12" s="579">
        <f>B12/100</f>
        <v>0</v>
      </c>
      <c r="I12" s="579">
        <f>B12/500</f>
        <v>0</v>
      </c>
      <c r="J12" s="579">
        <f>B12/1000</f>
        <v>0</v>
      </c>
      <c r="K12" s="579">
        <f>B12/5000</f>
        <v>0</v>
      </c>
      <c r="L12" s="579">
        <f>B12/10000</f>
        <v>0</v>
      </c>
      <c r="M12" s="583">
        <f>B12/50000</f>
        <v>0</v>
      </c>
      <c r="N12" s="553"/>
    </row>
    <row r="13" ht="18.75" customHeight="1">
      <c r="A13" s="289"/>
      <c r="B13" s="576"/>
      <c r="C13" s="577" t="s">
        <v>45</v>
      </c>
      <c r="D13" s="579">
        <f>B13*50</f>
        <v>0</v>
      </c>
      <c r="E13" s="579">
        <f>B13*5</f>
        <v>0</v>
      </c>
      <c r="F13" s="578" t="str">
        <f>B13</f>
        <v/>
      </c>
      <c r="G13" s="579">
        <f>B13/2</f>
        <v>0</v>
      </c>
      <c r="H13" s="579">
        <f>B13/20</f>
        <v>0</v>
      </c>
      <c r="I13" s="579">
        <f>B13/100</f>
        <v>0</v>
      </c>
      <c r="J13" s="581">
        <f>B13/200</f>
        <v>0</v>
      </c>
      <c r="K13" s="581">
        <f>B13/1000</f>
        <v>0</v>
      </c>
      <c r="L13" s="581">
        <f>B13/2000</f>
        <v>0</v>
      </c>
      <c r="M13" s="582">
        <f>B13/10000</f>
        <v>0</v>
      </c>
      <c r="N13" s="553"/>
    </row>
    <row r="14" ht="18.75" customHeight="1">
      <c r="A14" s="289"/>
      <c r="B14" s="576"/>
      <c r="C14" s="577" t="s">
        <v>46</v>
      </c>
      <c r="D14" s="579">
        <f>B14*100</f>
        <v>0</v>
      </c>
      <c r="E14" s="579">
        <f>B14*10</f>
        <v>0</v>
      </c>
      <c r="F14" s="579">
        <f>B14*2</f>
        <v>0</v>
      </c>
      <c r="G14" s="578" t="str">
        <f>B14</f>
        <v/>
      </c>
      <c r="H14" s="579">
        <f>B14/10</f>
        <v>0</v>
      </c>
      <c r="I14" s="579">
        <f>B14/50</f>
        <v>0</v>
      </c>
      <c r="J14" s="581">
        <f>B14/100</f>
        <v>0</v>
      </c>
      <c r="K14" s="581">
        <f>B14/500</f>
        <v>0</v>
      </c>
      <c r="L14" s="581">
        <f>B14/1000</f>
        <v>0</v>
      </c>
      <c r="M14" s="582">
        <f>B14/5000</f>
        <v>0</v>
      </c>
      <c r="N14" s="553"/>
    </row>
    <row r="15" ht="18.75" customHeight="1">
      <c r="A15" s="289"/>
      <c r="B15" s="584"/>
      <c r="C15" s="585" t="s">
        <v>47</v>
      </c>
      <c r="D15" s="586">
        <f>B15*1000</f>
        <v>0</v>
      </c>
      <c r="E15" s="586">
        <f>B15*100</f>
        <v>0</v>
      </c>
      <c r="F15" s="586">
        <f>B15*20</f>
        <v>0</v>
      </c>
      <c r="G15" s="586">
        <f>B15*10</f>
        <v>0</v>
      </c>
      <c r="H15" s="586">
        <f>B15*1</f>
        <v>0</v>
      </c>
      <c r="I15" s="586">
        <f>B15/5</f>
        <v>0</v>
      </c>
      <c r="J15" s="587">
        <f>B15/10</f>
        <v>0</v>
      </c>
      <c r="K15" s="587">
        <f>B15/50</f>
        <v>0</v>
      </c>
      <c r="L15" s="587">
        <f>B15/100</f>
        <v>0</v>
      </c>
      <c r="M15" s="588">
        <f>B15/500</f>
        <v>0</v>
      </c>
      <c r="N15" s="553"/>
    </row>
    <row r="16" ht="7.5" customHeight="1">
      <c r="A16" s="289"/>
      <c r="B16" s="338"/>
      <c r="C16" s="339"/>
      <c r="D16" s="339"/>
      <c r="E16" s="339"/>
      <c r="F16" s="339"/>
      <c r="G16" s="339"/>
      <c r="H16" s="339"/>
      <c r="I16" s="339"/>
      <c r="J16" s="340"/>
      <c r="K16" s="340"/>
      <c r="L16" s="340"/>
      <c r="M16" s="340"/>
      <c r="N16" s="589"/>
    </row>
    <row r="17" ht="18.75" customHeight="1">
      <c r="A17" s="289"/>
      <c r="B17" s="565" t="s">
        <v>48</v>
      </c>
      <c r="C17" s="568"/>
      <c r="D17" s="567" t="s">
        <v>29</v>
      </c>
      <c r="E17" s="568"/>
      <c r="F17" s="568"/>
      <c r="G17" s="568"/>
      <c r="H17" s="568"/>
      <c r="I17" s="568"/>
      <c r="J17" s="570"/>
      <c r="K17" s="570"/>
      <c r="L17" s="570"/>
      <c r="M17" s="590"/>
      <c r="N17" s="553"/>
    </row>
    <row r="18" ht="18.75" customHeight="1">
      <c r="A18" s="289"/>
      <c r="B18" s="573" t="s">
        <v>31</v>
      </c>
      <c r="C18" s="574" t="s">
        <v>11</v>
      </c>
      <c r="D18" s="574" t="s">
        <v>32</v>
      </c>
      <c r="E18" s="574" t="s">
        <v>33</v>
      </c>
      <c r="F18" s="574" t="s">
        <v>34</v>
      </c>
      <c r="G18" s="574" t="s">
        <v>35</v>
      </c>
      <c r="H18" s="574" t="s">
        <v>36</v>
      </c>
      <c r="I18" s="574" t="s">
        <v>37</v>
      </c>
      <c r="J18" s="574" t="s">
        <v>38</v>
      </c>
      <c r="K18" s="574" t="s">
        <v>39</v>
      </c>
      <c r="L18" s="574" t="s">
        <v>40</v>
      </c>
      <c r="M18" s="575" t="s">
        <v>41</v>
      </c>
      <c r="N18" s="553"/>
    </row>
    <row r="19" ht="18.75" customHeight="1">
      <c r="A19" s="289"/>
      <c r="B19" s="576">
        <v>0.0</v>
      </c>
      <c r="C19" s="577" t="s">
        <v>49</v>
      </c>
      <c r="D19" s="579">
        <f>B19*1000</f>
        <v>0</v>
      </c>
      <c r="E19" s="579">
        <f>B19*100</f>
        <v>0</v>
      </c>
      <c r="F19" s="579">
        <f>B19*20</f>
        <v>0</v>
      </c>
      <c r="G19" s="579">
        <f>B19*10</f>
        <v>0</v>
      </c>
      <c r="H19" s="579">
        <f>B19*1</f>
        <v>0</v>
      </c>
      <c r="I19" s="579">
        <f>B19/5</f>
        <v>0</v>
      </c>
      <c r="J19" s="581">
        <f>B19/10</f>
        <v>0</v>
      </c>
      <c r="K19" s="581">
        <f>B19/50</f>
        <v>0</v>
      </c>
      <c r="L19" s="581">
        <f>B19/100</f>
        <v>0</v>
      </c>
      <c r="M19" s="582">
        <f>B19/500</f>
        <v>0</v>
      </c>
      <c r="N19" s="553"/>
    </row>
    <row r="20" ht="18.75" customHeight="1">
      <c r="A20" s="289"/>
      <c r="B20" s="576">
        <v>0.0</v>
      </c>
      <c r="C20" s="577" t="s">
        <v>50</v>
      </c>
      <c r="D20" s="579">
        <f>B20*5000</f>
        <v>0</v>
      </c>
      <c r="E20" s="579">
        <f>B20*500</f>
        <v>0</v>
      </c>
      <c r="F20" s="579">
        <f>B20*100</f>
        <v>0</v>
      </c>
      <c r="G20" s="579">
        <f>B20*50</f>
        <v>0</v>
      </c>
      <c r="H20" s="579">
        <f>B20*5</f>
        <v>0</v>
      </c>
      <c r="I20" s="578">
        <f>B20</f>
        <v>0</v>
      </c>
      <c r="J20" s="581">
        <f>B20/2</f>
        <v>0</v>
      </c>
      <c r="K20" s="581">
        <f>B20/10</f>
        <v>0</v>
      </c>
      <c r="L20" s="581">
        <f>B20/20</f>
        <v>0</v>
      </c>
      <c r="M20" s="582">
        <f>B20/100</f>
        <v>0</v>
      </c>
      <c r="N20" s="553"/>
    </row>
    <row r="21" ht="18.75" customHeight="1">
      <c r="A21" s="289"/>
      <c r="B21" s="576">
        <v>0.0</v>
      </c>
      <c r="C21" s="577" t="s">
        <v>51</v>
      </c>
      <c r="D21" s="579">
        <f>B21*10000</f>
        <v>0</v>
      </c>
      <c r="E21" s="579">
        <f>B21*1000</f>
        <v>0</v>
      </c>
      <c r="F21" s="579">
        <f>B21*200</f>
        <v>0</v>
      </c>
      <c r="G21" s="579">
        <f>B21*100</f>
        <v>0</v>
      </c>
      <c r="H21" s="579">
        <f>B21*10</f>
        <v>0</v>
      </c>
      <c r="I21" s="579">
        <f>B21/5*10</f>
        <v>0</v>
      </c>
      <c r="J21" s="591">
        <f>B21</f>
        <v>0</v>
      </c>
      <c r="K21" s="581">
        <f>B21/5</f>
        <v>0</v>
      </c>
      <c r="L21" s="581">
        <f>B21/10</f>
        <v>0</v>
      </c>
      <c r="M21" s="582">
        <f>B21/50</f>
        <v>0</v>
      </c>
      <c r="N21" s="553"/>
    </row>
    <row r="22" ht="18.75" customHeight="1">
      <c r="A22" s="289"/>
      <c r="B22" s="576">
        <v>0.0</v>
      </c>
      <c r="C22" s="577" t="s">
        <v>52</v>
      </c>
      <c r="D22" s="579">
        <f>B22*50000</f>
        <v>0</v>
      </c>
      <c r="E22" s="579">
        <f>B22*5000</f>
        <v>0</v>
      </c>
      <c r="F22" s="579">
        <f>B22*1000</f>
        <v>0</v>
      </c>
      <c r="G22" s="579">
        <f>B22*500</f>
        <v>0</v>
      </c>
      <c r="H22" s="579">
        <f>B22*50</f>
        <v>0</v>
      </c>
      <c r="I22" s="579">
        <f>B22*10</f>
        <v>0</v>
      </c>
      <c r="J22" s="581">
        <f>B22/2*10</f>
        <v>0</v>
      </c>
      <c r="K22" s="591">
        <f>B22</f>
        <v>0</v>
      </c>
      <c r="L22" s="581">
        <f>B22/2</f>
        <v>0</v>
      </c>
      <c r="M22" s="582">
        <f>B22/10</f>
        <v>0</v>
      </c>
      <c r="N22" s="553"/>
    </row>
    <row r="23" ht="18.75" customHeight="1">
      <c r="A23" s="289"/>
      <c r="B23" s="576">
        <v>0.0</v>
      </c>
      <c r="C23" s="577" t="s">
        <v>54</v>
      </c>
      <c r="D23" s="579">
        <f>B23*100000</f>
        <v>0</v>
      </c>
      <c r="E23" s="579">
        <f>B23*10000</f>
        <v>0</v>
      </c>
      <c r="F23" s="579">
        <f>B23*2000</f>
        <v>0</v>
      </c>
      <c r="G23" s="579">
        <f>B23*1000</f>
        <v>0</v>
      </c>
      <c r="H23" s="579">
        <f>B23*100</f>
        <v>0</v>
      </c>
      <c r="I23" s="579">
        <f>B23/5*100</f>
        <v>0</v>
      </c>
      <c r="J23" s="581">
        <f>B23*10</f>
        <v>0</v>
      </c>
      <c r="K23" s="581">
        <f>B23/5*10</f>
        <v>0</v>
      </c>
      <c r="L23" s="591">
        <f>B23</f>
        <v>0</v>
      </c>
      <c r="M23" s="582">
        <f>B23/5</f>
        <v>0</v>
      </c>
      <c r="N23" s="553"/>
    </row>
    <row r="24" ht="18.75" customHeight="1">
      <c r="A24" s="289"/>
      <c r="B24" s="584">
        <v>0.0</v>
      </c>
      <c r="C24" s="585" t="s">
        <v>56</v>
      </c>
      <c r="D24" s="586">
        <f>B24*500000</f>
        <v>0</v>
      </c>
      <c r="E24" s="586">
        <f>B24*50000</f>
        <v>0</v>
      </c>
      <c r="F24" s="586">
        <f>B24*10000</f>
        <v>0</v>
      </c>
      <c r="G24" s="586">
        <f>B24*5000</f>
        <v>0</v>
      </c>
      <c r="H24" s="586">
        <f>B24*500</f>
        <v>0</v>
      </c>
      <c r="I24" s="586">
        <f>B24*100</f>
        <v>0</v>
      </c>
      <c r="J24" s="587">
        <f>B24/2*100</f>
        <v>0</v>
      </c>
      <c r="K24" s="587">
        <f>B24*10</f>
        <v>0</v>
      </c>
      <c r="L24" s="587">
        <f>B24/2*10</f>
        <v>0</v>
      </c>
      <c r="M24" s="592">
        <f>B24</f>
        <v>0</v>
      </c>
      <c r="N24" s="553"/>
    </row>
    <row r="25" ht="7.5" customHeight="1">
      <c r="A25" s="289"/>
      <c r="B25" s="364"/>
      <c r="C25" s="13"/>
      <c r="D25" s="13"/>
      <c r="E25" s="13"/>
      <c r="F25" s="13"/>
      <c r="G25" s="13"/>
      <c r="H25" s="13"/>
      <c r="I25" s="13"/>
      <c r="J25" s="261"/>
      <c r="K25" s="261"/>
      <c r="L25" s="261"/>
      <c r="M25" s="261"/>
      <c r="N25" s="553"/>
    </row>
    <row r="26" ht="18.75" customHeight="1">
      <c r="A26" s="289"/>
      <c r="B26" s="593" t="s">
        <v>31</v>
      </c>
      <c r="C26" s="594" t="s">
        <v>58</v>
      </c>
      <c r="D26" s="594" t="s">
        <v>59</v>
      </c>
      <c r="E26" s="594" t="s">
        <v>60</v>
      </c>
      <c r="F26" s="594" t="s">
        <v>61</v>
      </c>
      <c r="G26" s="594" t="s">
        <v>69</v>
      </c>
      <c r="H26" s="595" t="s">
        <v>70</v>
      </c>
      <c r="I26" s="596" t="s">
        <v>71</v>
      </c>
      <c r="J26" s="135"/>
      <c r="K26" s="135"/>
      <c r="L26" s="135"/>
      <c r="M26" s="136"/>
      <c r="N26" s="597"/>
    </row>
    <row r="27" ht="18.75" customHeight="1">
      <c r="A27" s="598">
        <f>IFERROR(VLOOKUP(H27,PartyStorage,2, FALSE),0)</f>
        <v>0</v>
      </c>
      <c r="B27" s="599">
        <f>sum(Ch5_Money)</f>
        <v>0</v>
      </c>
      <c r="C27" s="600" t="s">
        <v>28</v>
      </c>
      <c r="D27" s="601">
        <v>0.02</v>
      </c>
      <c r="E27" s="601">
        <f>IF(ISBLANK(C27),"",IF(ISBLANK(B27),D27,D27*B27))</f>
        <v>0</v>
      </c>
      <c r="F27" s="602"/>
      <c r="G27" s="603"/>
      <c r="H27" s="604"/>
      <c r="I27" s="605"/>
      <c r="M27" s="378"/>
      <c r="N27" s="553">
        <f>IFERROR(VLOOKUP(G27,Ch5_Storage,2, FALSE),0)</f>
        <v>0</v>
      </c>
    </row>
    <row r="28" ht="18.75" customHeight="1">
      <c r="A28" s="598">
        <f>IFERROR(VLOOKUP(H28,PartyStorage,2, FALSE),0)</f>
        <v>0</v>
      </c>
      <c r="B28" s="606">
        <f>sum(Ch5_Gems)</f>
        <v>0</v>
      </c>
      <c r="C28" s="607" t="s">
        <v>48</v>
      </c>
      <c r="D28" s="608">
        <v>0.02</v>
      </c>
      <c r="E28" s="608">
        <f t="shared" ref="E28:E48" si="1">IF(ISBLANK(D28),"",B28*D28)</f>
        <v>0</v>
      </c>
      <c r="F28" s="609"/>
      <c r="G28" s="610"/>
      <c r="H28" s="611"/>
      <c r="I28" s="612"/>
      <c r="M28" s="613"/>
      <c r="N28" s="553">
        <f>IFERROR(VLOOKUP(G28,Ch5_Storage,2, FALSE),0)</f>
        <v>0</v>
      </c>
    </row>
    <row r="29" ht="18.75" customHeight="1">
      <c r="A29" s="598">
        <f>IFERROR(VLOOKUP(H29,PartyStorage,2, FALSE),0)</f>
        <v>0</v>
      </c>
      <c r="B29" s="614"/>
      <c r="C29" s="615"/>
      <c r="D29" s="616"/>
      <c r="E29" s="616" t="str">
        <f t="shared" si="1"/>
        <v/>
      </c>
      <c r="F29" s="617"/>
      <c r="G29" s="618"/>
      <c r="H29" s="617"/>
      <c r="I29" s="619"/>
      <c r="M29" s="378"/>
      <c r="N29" s="553">
        <f>IFERROR(VLOOKUP(G29,Ch5_Storage,2, FALSE),0)</f>
        <v>0</v>
      </c>
    </row>
    <row r="30" ht="18.75" customHeight="1">
      <c r="A30" s="598">
        <f>IFERROR(VLOOKUP(H30,PartyStorage,2, FALSE),0)</f>
        <v>0</v>
      </c>
      <c r="B30" s="620"/>
      <c r="C30" s="621"/>
      <c r="D30" s="622"/>
      <c r="E30" s="622" t="str">
        <f t="shared" si="1"/>
        <v/>
      </c>
      <c r="F30" s="623"/>
      <c r="G30" s="624"/>
      <c r="H30" s="623"/>
      <c r="I30" s="612"/>
      <c r="M30" s="613"/>
      <c r="N30" s="553">
        <f>IFERROR(VLOOKUP(G30,Ch5_Storage,2, FALSE),0)</f>
        <v>0</v>
      </c>
    </row>
    <row r="31" ht="18.75" customHeight="1">
      <c r="A31" s="598">
        <f>IFERROR(VLOOKUP(H31,PartyStorage,2, FALSE),0)</f>
        <v>0</v>
      </c>
      <c r="B31" s="625"/>
      <c r="C31" s="626"/>
      <c r="D31" s="616"/>
      <c r="E31" s="616" t="str">
        <f t="shared" si="1"/>
        <v/>
      </c>
      <c r="F31" s="617"/>
      <c r="G31" s="618"/>
      <c r="H31" s="617"/>
      <c r="I31" s="605"/>
      <c r="M31" s="378"/>
      <c r="N31" s="553">
        <f>IFERROR(VLOOKUP(G31,Ch5_Storage,2, FALSE),0)</f>
        <v>0</v>
      </c>
    </row>
    <row r="32" ht="18.75" customHeight="1">
      <c r="A32" s="598">
        <f>IFERROR(VLOOKUP(H32,PartyStorage,2, FALSE),0)</f>
        <v>0</v>
      </c>
      <c r="B32" s="620"/>
      <c r="C32" s="621"/>
      <c r="D32" s="622"/>
      <c r="E32" s="622" t="str">
        <f t="shared" si="1"/>
        <v/>
      </c>
      <c r="F32" s="623"/>
      <c r="G32" s="624"/>
      <c r="H32" s="623"/>
      <c r="I32" s="612"/>
      <c r="M32" s="613"/>
      <c r="N32" s="553">
        <f>IFERROR(VLOOKUP(G32,Ch5_Storage,2, FALSE),0)</f>
        <v>0</v>
      </c>
    </row>
    <row r="33" ht="18.75" customHeight="1">
      <c r="A33" s="598">
        <f>IFERROR(VLOOKUP(H33,PartyStorage,2, FALSE),0)</f>
        <v>0</v>
      </c>
      <c r="B33" s="625"/>
      <c r="C33" s="627"/>
      <c r="D33" s="616"/>
      <c r="E33" s="616" t="str">
        <f t="shared" si="1"/>
        <v/>
      </c>
      <c r="F33" s="617"/>
      <c r="G33" s="618"/>
      <c r="H33" s="617"/>
      <c r="I33" s="605"/>
      <c r="M33" s="378"/>
      <c r="N33" s="553">
        <f>IFERROR(VLOOKUP(G33,Ch5_Storage,2, FALSE),0)</f>
        <v>0</v>
      </c>
    </row>
    <row r="34" ht="18.75" customHeight="1">
      <c r="A34" s="598">
        <f>IFERROR(VLOOKUP(H34,PartyStorage,2, FALSE),0)</f>
        <v>0</v>
      </c>
      <c r="B34" s="620"/>
      <c r="C34" s="621"/>
      <c r="D34" s="622"/>
      <c r="E34" s="622" t="str">
        <f t="shared" si="1"/>
        <v/>
      </c>
      <c r="F34" s="623"/>
      <c r="G34" s="628"/>
      <c r="H34" s="623"/>
      <c r="I34" s="612"/>
      <c r="M34" s="613"/>
      <c r="N34" s="553">
        <f>IFERROR(VLOOKUP(G34,Ch5_Storage,2, FALSE),0)</f>
        <v>0</v>
      </c>
    </row>
    <row r="35" ht="18.75" customHeight="1">
      <c r="A35" s="598">
        <f>IFERROR(VLOOKUP(H35,PartyStorage,2, FALSE),0)</f>
        <v>0</v>
      </c>
      <c r="B35" s="614"/>
      <c r="C35" s="627"/>
      <c r="D35" s="616"/>
      <c r="E35" s="616" t="str">
        <f t="shared" si="1"/>
        <v/>
      </c>
      <c r="F35" s="617"/>
      <c r="G35" s="629"/>
      <c r="H35" s="617"/>
      <c r="I35" s="605"/>
      <c r="M35" s="378"/>
      <c r="N35" s="553">
        <f>IFERROR(VLOOKUP(G35,Ch5_Storage,2, FALSE),0)</f>
        <v>0</v>
      </c>
    </row>
    <row r="36" ht="18.75" customHeight="1">
      <c r="A36" s="598">
        <f>IFERROR(VLOOKUP(H36,PartyStorage,2, FALSE),0)</f>
        <v>0</v>
      </c>
      <c r="B36" s="620"/>
      <c r="C36" s="630"/>
      <c r="D36" s="622"/>
      <c r="E36" s="622" t="str">
        <f t="shared" si="1"/>
        <v/>
      </c>
      <c r="F36" s="623"/>
      <c r="G36" s="628"/>
      <c r="H36" s="623"/>
      <c r="I36" s="612"/>
      <c r="M36" s="613"/>
      <c r="N36" s="553">
        <f>IFERROR(VLOOKUP(G36,Ch5_Storage,2, FALSE),0)</f>
        <v>0</v>
      </c>
    </row>
    <row r="37" ht="18.75" customHeight="1">
      <c r="A37" s="598">
        <f>IFERROR(VLOOKUP(H37,PartyStorage,2, FALSE),0)</f>
        <v>0</v>
      </c>
      <c r="B37" s="614"/>
      <c r="C37" s="626"/>
      <c r="D37" s="616"/>
      <c r="E37" s="616" t="str">
        <f t="shared" si="1"/>
        <v/>
      </c>
      <c r="F37" s="617"/>
      <c r="G37" s="629"/>
      <c r="H37" s="631"/>
      <c r="I37" s="605"/>
      <c r="M37" s="378"/>
      <c r="N37" s="553">
        <f>IFERROR(VLOOKUP(G37,Ch5_Storage,2, FALSE),0)</f>
        <v>0</v>
      </c>
    </row>
    <row r="38" ht="18.75" customHeight="1">
      <c r="A38" s="598">
        <f>IFERROR(VLOOKUP(H38,PartyStorage,2, FALSE),0)</f>
        <v>0</v>
      </c>
      <c r="B38" s="620"/>
      <c r="C38" s="621"/>
      <c r="D38" s="622"/>
      <c r="E38" s="622" t="str">
        <f t="shared" si="1"/>
        <v/>
      </c>
      <c r="F38" s="632"/>
      <c r="G38" s="628"/>
      <c r="H38" s="623"/>
      <c r="I38" s="633"/>
      <c r="M38" s="613"/>
      <c r="N38" s="553">
        <f>IFERROR(VLOOKUP(G38,Ch5_Storage,2, FALSE),0)</f>
        <v>0</v>
      </c>
    </row>
    <row r="39" ht="18.75" customHeight="1">
      <c r="A39" s="598">
        <f>IFERROR(VLOOKUP(H39,PartyStorage,2, FALSE),0)</f>
        <v>0</v>
      </c>
      <c r="B39" s="614"/>
      <c r="C39" s="626"/>
      <c r="D39" s="616"/>
      <c r="E39" s="616" t="str">
        <f t="shared" si="1"/>
        <v/>
      </c>
      <c r="F39" s="617"/>
      <c r="G39" s="629"/>
      <c r="H39" s="631"/>
      <c r="I39" s="605"/>
      <c r="M39" s="378"/>
      <c r="N39" s="553">
        <f>IFERROR(VLOOKUP(G39,Ch5_Storage,2, FALSE),0)</f>
        <v>0</v>
      </c>
    </row>
    <row r="40" ht="18.75" customHeight="1">
      <c r="A40" s="598">
        <f>IFERROR(VLOOKUP(H40,PartyStorage,2, FALSE),0)</f>
        <v>0</v>
      </c>
      <c r="B40" s="620"/>
      <c r="C40" s="621"/>
      <c r="D40" s="622"/>
      <c r="E40" s="622" t="str">
        <f t="shared" si="1"/>
        <v/>
      </c>
      <c r="F40" s="623"/>
      <c r="G40" s="628"/>
      <c r="H40" s="623"/>
      <c r="I40" s="612"/>
      <c r="M40" s="613"/>
      <c r="N40" s="553">
        <f>IFERROR(VLOOKUP(G40,Ch5_Storage,2, FALSE),0)</f>
        <v>0</v>
      </c>
    </row>
    <row r="41" ht="18.75" customHeight="1">
      <c r="A41" s="598">
        <f>IFERROR(VLOOKUP(H41,PartyStorage,2, FALSE),0)</f>
        <v>0</v>
      </c>
      <c r="B41" s="614"/>
      <c r="C41" s="634"/>
      <c r="D41" s="616"/>
      <c r="E41" s="616" t="str">
        <f t="shared" si="1"/>
        <v/>
      </c>
      <c r="F41" s="617"/>
      <c r="G41" s="629"/>
      <c r="H41" s="617"/>
      <c r="I41" s="635"/>
      <c r="M41" s="378"/>
      <c r="N41" s="553">
        <f>IFERROR(VLOOKUP(G41,Ch5_Storage,2, FALSE),0)</f>
        <v>0</v>
      </c>
    </row>
    <row r="42" ht="18.75" customHeight="1">
      <c r="A42" s="598">
        <f>IFERROR(VLOOKUP(H42,PartyStorage,2, FALSE),0)</f>
        <v>0</v>
      </c>
      <c r="B42" s="620"/>
      <c r="C42" s="636"/>
      <c r="D42" s="622"/>
      <c r="E42" s="622" t="str">
        <f t="shared" si="1"/>
        <v/>
      </c>
      <c r="F42" s="623"/>
      <c r="G42" s="628"/>
      <c r="H42" s="623"/>
      <c r="I42" s="637"/>
      <c r="M42" s="613"/>
      <c r="N42" s="553">
        <f>IFERROR(VLOOKUP(G42,Ch5_Storage,2, FALSE),0)</f>
        <v>0</v>
      </c>
    </row>
    <row r="43" ht="18.75" customHeight="1">
      <c r="A43" s="598">
        <f>IFERROR(VLOOKUP(H43,PartyStorage,2, FALSE),0)</f>
        <v>0</v>
      </c>
      <c r="B43" s="625"/>
      <c r="C43" s="615"/>
      <c r="D43" s="616"/>
      <c r="E43" s="616" t="str">
        <f t="shared" si="1"/>
        <v/>
      </c>
      <c r="F43" s="617"/>
      <c r="G43" s="629"/>
      <c r="H43" s="617"/>
      <c r="I43" s="638"/>
      <c r="M43" s="378"/>
      <c r="N43" s="553">
        <f>IFERROR(VLOOKUP(G43,Ch5_Storage,2, FALSE),0)</f>
        <v>0</v>
      </c>
    </row>
    <row r="44" ht="18.75" customHeight="1">
      <c r="A44" s="598">
        <f>IFERROR(VLOOKUP(H44,PartyStorage,2, FALSE),0)</f>
        <v>0</v>
      </c>
      <c r="B44" s="639"/>
      <c r="C44" s="640"/>
      <c r="D44" s="622"/>
      <c r="E44" s="622" t="str">
        <f t="shared" si="1"/>
        <v/>
      </c>
      <c r="F44" s="623"/>
      <c r="G44" s="628"/>
      <c r="H44" s="623"/>
      <c r="I44" s="637"/>
      <c r="M44" s="613"/>
      <c r="N44" s="553">
        <f>IFERROR(VLOOKUP(G44,Ch5_Storage,2, FALSE),0)</f>
        <v>0</v>
      </c>
    </row>
    <row r="45" ht="18.75" customHeight="1">
      <c r="A45" s="598">
        <f>IFERROR(VLOOKUP(H45,PartyStorage,2, FALSE),0)</f>
        <v>0</v>
      </c>
      <c r="B45" s="614"/>
      <c r="C45" s="626"/>
      <c r="D45" s="616"/>
      <c r="E45" s="616" t="str">
        <f t="shared" si="1"/>
        <v/>
      </c>
      <c r="F45" s="617"/>
      <c r="G45" s="629"/>
      <c r="H45" s="617"/>
      <c r="I45" s="605"/>
      <c r="M45" s="378"/>
      <c r="N45" s="553">
        <f>IFERROR(VLOOKUP(G45,Ch5_Storage,2, FALSE),0)</f>
        <v>0</v>
      </c>
    </row>
    <row r="46" ht="18.75" customHeight="1">
      <c r="A46" s="598">
        <f>IFERROR(VLOOKUP(H46,PartyStorage,2, FALSE),0)</f>
        <v>0</v>
      </c>
      <c r="B46" s="620"/>
      <c r="C46" s="621"/>
      <c r="D46" s="622"/>
      <c r="E46" s="622" t="str">
        <f t="shared" si="1"/>
        <v/>
      </c>
      <c r="F46" s="623"/>
      <c r="G46" s="628"/>
      <c r="H46" s="623"/>
      <c r="I46" s="612"/>
      <c r="M46" s="613"/>
      <c r="N46" s="553">
        <f>IFERROR(VLOOKUP(G46,Ch5_Storage,2, FALSE),0)</f>
        <v>0</v>
      </c>
    </row>
    <row r="47" ht="18.75" customHeight="1">
      <c r="A47" s="598">
        <f>IFERROR(VLOOKUP(H47,PartyStorage,2, FALSE),0)</f>
        <v>0</v>
      </c>
      <c r="B47" s="614"/>
      <c r="C47" s="627"/>
      <c r="D47" s="616"/>
      <c r="E47" s="616" t="str">
        <f t="shared" si="1"/>
        <v/>
      </c>
      <c r="F47" s="617"/>
      <c r="G47" s="629"/>
      <c r="H47" s="617"/>
      <c r="I47" s="605"/>
      <c r="M47" s="378"/>
      <c r="N47" s="553">
        <f>IFERROR(VLOOKUP(G47,Ch5_Storage,2, FALSE),0)</f>
        <v>0</v>
      </c>
    </row>
    <row r="48" ht="18.75" customHeight="1">
      <c r="A48" s="598">
        <f>IFERROR(VLOOKUP(H48,PartyStorage,2, FALSE),0)</f>
        <v>0</v>
      </c>
      <c r="B48" s="620"/>
      <c r="C48" s="621"/>
      <c r="D48" s="622"/>
      <c r="E48" s="622" t="str">
        <f t="shared" si="1"/>
        <v/>
      </c>
      <c r="F48" s="623"/>
      <c r="G48" s="624"/>
      <c r="H48" s="623"/>
      <c r="I48" s="633"/>
      <c r="M48" s="613"/>
      <c r="N48" s="553">
        <f>IFERROR(VLOOKUP(G48,Ch5_Storage,2, FALSE),0)</f>
        <v>0</v>
      </c>
    </row>
    <row r="49" ht="18.75" customHeight="1">
      <c r="A49" s="598">
        <f>IFERROR(VLOOKUP(H49,PartyStorage,2, FALSE),0)</f>
        <v>0</v>
      </c>
      <c r="B49" s="614"/>
      <c r="C49" s="615"/>
      <c r="D49" s="616"/>
      <c r="E49" s="616"/>
      <c r="F49" s="617"/>
      <c r="G49" s="618"/>
      <c r="H49" s="617"/>
      <c r="I49" s="638"/>
      <c r="M49" s="378"/>
      <c r="N49" s="553">
        <f>IFERROR(VLOOKUP(G49,Ch5_Storage,2, FALSE),0)</f>
        <v>0</v>
      </c>
    </row>
    <row r="50" ht="18.75" customHeight="1">
      <c r="A50" s="598">
        <f>IFERROR(VLOOKUP(H50,PartyStorage,2, FALSE),0)</f>
        <v>0</v>
      </c>
      <c r="B50" s="620"/>
      <c r="C50" s="621"/>
      <c r="D50" s="622"/>
      <c r="E50" s="622"/>
      <c r="F50" s="623"/>
      <c r="G50" s="624"/>
      <c r="H50" s="623"/>
      <c r="I50" s="612"/>
      <c r="M50" s="613"/>
      <c r="N50" s="553">
        <f>IFERROR(VLOOKUP(G50,Ch5_Storage,2, FALSE),0)</f>
        <v>0</v>
      </c>
    </row>
    <row r="51" ht="18.75" customHeight="1">
      <c r="A51" s="598">
        <f>IFERROR(VLOOKUP(H51,PartyStorage,2, FALSE),0)</f>
        <v>0</v>
      </c>
      <c r="B51" s="614"/>
      <c r="C51" s="626"/>
      <c r="D51" s="616"/>
      <c r="E51" s="616"/>
      <c r="F51" s="617"/>
      <c r="G51" s="618"/>
      <c r="H51" s="617"/>
      <c r="I51" s="605"/>
      <c r="M51" s="378"/>
      <c r="N51" s="553">
        <f>IFERROR(VLOOKUP(G51,Ch5_Storage,2, FALSE),0)</f>
        <v>0</v>
      </c>
    </row>
    <row r="52" ht="18.75" customHeight="1">
      <c r="A52" s="598">
        <f>IFERROR(VLOOKUP(H52,PartyStorage,2, FALSE),0)</f>
        <v>0</v>
      </c>
      <c r="B52" s="620"/>
      <c r="C52" s="630"/>
      <c r="D52" s="622"/>
      <c r="E52" s="622" t="str">
        <f t="shared" ref="E52:E56" si="2">IF(ISBLANK(D52),"",B52*D52)</f>
        <v/>
      </c>
      <c r="F52" s="623"/>
      <c r="G52" s="624"/>
      <c r="H52" s="641"/>
      <c r="I52" s="612"/>
      <c r="M52" s="613"/>
      <c r="N52" s="553">
        <f>IFERROR(VLOOKUP(G52,Ch5_Storage,2, FALSE),0)</f>
        <v>0</v>
      </c>
    </row>
    <row r="53" ht="18.75" customHeight="1">
      <c r="A53" s="598">
        <f>IFERROR(VLOOKUP(H53,PartyStorage,2, FALSE),0)</f>
        <v>0</v>
      </c>
      <c r="B53" s="614"/>
      <c r="C53" s="626"/>
      <c r="D53" s="616"/>
      <c r="E53" s="616" t="str">
        <f t="shared" si="2"/>
        <v/>
      </c>
      <c r="F53" s="617"/>
      <c r="G53" s="618"/>
      <c r="H53" s="631"/>
      <c r="I53" s="605"/>
      <c r="M53" s="378"/>
      <c r="N53" s="553">
        <f>IFERROR(VLOOKUP(G53,Ch5_Storage,2, FALSE),0)</f>
        <v>0</v>
      </c>
    </row>
    <row r="54" ht="18.75" customHeight="1">
      <c r="A54" s="598">
        <f>IFERROR(VLOOKUP(H54,PartyStorage,2, FALSE),0)</f>
        <v>0</v>
      </c>
      <c r="B54" s="620"/>
      <c r="C54" s="636"/>
      <c r="D54" s="622"/>
      <c r="E54" s="622" t="str">
        <f t="shared" si="2"/>
        <v/>
      </c>
      <c r="F54" s="623"/>
      <c r="G54" s="628"/>
      <c r="H54" s="641"/>
      <c r="I54" s="642"/>
      <c r="M54" s="613"/>
      <c r="N54" s="553">
        <f>IFERROR(VLOOKUP(G54,Ch5_Storage,2, FALSE),0)</f>
        <v>0</v>
      </c>
    </row>
    <row r="55" ht="18.75" customHeight="1">
      <c r="A55" s="598">
        <f>IFERROR(VLOOKUP(H55,PartyStorage,2, FALSE),0)</f>
        <v>0</v>
      </c>
      <c r="B55" s="614"/>
      <c r="C55" s="626"/>
      <c r="D55" s="616"/>
      <c r="E55" s="616" t="str">
        <f t="shared" si="2"/>
        <v/>
      </c>
      <c r="F55" s="617"/>
      <c r="G55" s="629"/>
      <c r="H55" s="617"/>
      <c r="I55" s="605"/>
      <c r="M55" s="378"/>
      <c r="N55" s="553">
        <f>IFERROR(VLOOKUP(G55,Ch5_Storage,2, FALSE),0)</f>
        <v>0</v>
      </c>
    </row>
    <row r="56" ht="18.75" customHeight="1">
      <c r="A56" s="598">
        <f>IFERROR(VLOOKUP(H56,PartyStorage,2, FALSE),0)</f>
        <v>0</v>
      </c>
      <c r="B56" s="639"/>
      <c r="C56" s="630"/>
      <c r="D56" s="622"/>
      <c r="E56" s="622" t="str">
        <f t="shared" si="2"/>
        <v/>
      </c>
      <c r="F56" s="623"/>
      <c r="G56" s="628"/>
      <c r="H56" s="641"/>
      <c r="I56" s="612"/>
      <c r="M56" s="613"/>
      <c r="N56" s="553">
        <f>IFERROR(VLOOKUP(G56,Ch5_Storage,2, FALSE),0)</f>
        <v>0</v>
      </c>
    </row>
    <row r="57" ht="18.75" customHeight="1">
      <c r="A57" s="598">
        <f>IFERROR(VLOOKUP(H57,PartyStorage,2, FALSE),0)</f>
        <v>0</v>
      </c>
      <c r="B57" s="614"/>
      <c r="C57" s="626"/>
      <c r="D57" s="616"/>
      <c r="E57" s="616"/>
      <c r="F57" s="617"/>
      <c r="G57" s="629"/>
      <c r="H57" s="617"/>
      <c r="I57" s="605"/>
      <c r="M57" s="378"/>
      <c r="N57" s="553">
        <f>IFERROR(VLOOKUP(G57,Ch5_Storage,2, FALSE),0)</f>
        <v>0</v>
      </c>
    </row>
    <row r="58" ht="18.75" customHeight="1">
      <c r="A58" s="598">
        <f>IFERROR(VLOOKUP(H58,PartyStorage,2, FALSE),0)</f>
        <v>0</v>
      </c>
      <c r="B58" s="620"/>
      <c r="C58" s="621"/>
      <c r="D58" s="622"/>
      <c r="E58" s="622" t="str">
        <f t="shared" ref="E58:E63" si="3">IF(ISBLANK(D58),"",B58*D58)</f>
        <v/>
      </c>
      <c r="F58" s="623"/>
      <c r="G58" s="628"/>
      <c r="H58" s="641"/>
      <c r="I58" s="612"/>
      <c r="M58" s="613"/>
      <c r="N58" s="553">
        <f>IFERROR(VLOOKUP(G58,Ch5_Storage,2, FALSE),0)</f>
        <v>0</v>
      </c>
    </row>
    <row r="59" ht="18.75" customHeight="1">
      <c r="A59" s="598">
        <f>IFERROR(VLOOKUP(H59,PartyStorage,2, FALSE),0)</f>
        <v>0</v>
      </c>
      <c r="B59" s="614"/>
      <c r="C59" s="626"/>
      <c r="D59" s="643"/>
      <c r="E59" s="616" t="str">
        <f t="shared" si="3"/>
        <v/>
      </c>
      <c r="F59" s="617"/>
      <c r="G59" s="629"/>
      <c r="H59" s="617"/>
      <c r="I59" s="605"/>
      <c r="M59" s="378"/>
      <c r="N59" s="553">
        <f>IFERROR(VLOOKUP(G59,Ch5_Storage,2, FALSE),0)</f>
        <v>0</v>
      </c>
    </row>
    <row r="60" ht="18.75" customHeight="1">
      <c r="A60" s="598">
        <f>IFERROR(VLOOKUP(H60,PartyStorage,2, FALSE),0)</f>
        <v>0</v>
      </c>
      <c r="B60" s="620"/>
      <c r="C60" s="621"/>
      <c r="D60" s="622"/>
      <c r="E60" s="622" t="str">
        <f t="shared" si="3"/>
        <v/>
      </c>
      <c r="F60" s="623"/>
      <c r="G60" s="628"/>
      <c r="H60" s="641"/>
      <c r="I60" s="612"/>
      <c r="M60" s="613"/>
      <c r="N60" s="553">
        <f>IFERROR(VLOOKUP(G60,Ch5_Storage,2, FALSE),0)</f>
        <v>0</v>
      </c>
    </row>
    <row r="61" ht="18.75" customHeight="1">
      <c r="A61" s="598">
        <f>IFERROR(VLOOKUP(H61,PartyStorage,2, FALSE),0)</f>
        <v>0</v>
      </c>
      <c r="B61" s="614"/>
      <c r="C61" s="626"/>
      <c r="D61" s="616"/>
      <c r="E61" s="616" t="str">
        <f t="shared" si="3"/>
        <v/>
      </c>
      <c r="F61" s="617"/>
      <c r="G61" s="629"/>
      <c r="H61" s="617"/>
      <c r="I61" s="605"/>
      <c r="M61" s="378"/>
      <c r="N61" s="553">
        <f>IFERROR(VLOOKUP(G61,Ch5_Storage,2, FALSE),0)</f>
        <v>0</v>
      </c>
    </row>
    <row r="62" ht="18.75" customHeight="1">
      <c r="A62" s="598">
        <f>IFERROR(VLOOKUP(H62,PartyStorage,2, FALSE),0)</f>
        <v>0</v>
      </c>
      <c r="B62" s="620"/>
      <c r="C62" s="621"/>
      <c r="D62" s="622"/>
      <c r="E62" s="622" t="str">
        <f t="shared" si="3"/>
        <v/>
      </c>
      <c r="F62" s="623"/>
      <c r="G62" s="628"/>
      <c r="H62" s="623"/>
      <c r="I62" s="612"/>
      <c r="M62" s="613"/>
      <c r="N62" s="553">
        <f>IFERROR(VLOOKUP(G62,Ch5_Storage,2, FALSE),0)</f>
        <v>0</v>
      </c>
    </row>
    <row r="63" ht="18.75" customHeight="1">
      <c r="A63" s="598">
        <f>IFERROR(VLOOKUP(H63,PartyStorage,2, FALSE),0)</f>
        <v>0</v>
      </c>
      <c r="B63" s="614"/>
      <c r="C63" s="626"/>
      <c r="D63" s="616"/>
      <c r="E63" s="616" t="str">
        <f t="shared" si="3"/>
        <v/>
      </c>
      <c r="F63" s="617"/>
      <c r="G63" s="629"/>
      <c r="H63" s="631"/>
      <c r="I63" s="605"/>
      <c r="M63" s="378"/>
      <c r="N63" s="553">
        <f>IFERROR(VLOOKUP(G63,Ch5_Storage,2, FALSE),0)</f>
        <v>0</v>
      </c>
    </row>
    <row r="64" ht="18.75" customHeight="1">
      <c r="A64" s="598">
        <f>IFERROR(VLOOKUP(H64,PartyStorage,2, FALSE),0)</f>
        <v>0</v>
      </c>
      <c r="B64" s="620"/>
      <c r="C64" s="621"/>
      <c r="D64" s="622"/>
      <c r="E64" s="622"/>
      <c r="F64" s="623"/>
      <c r="G64" s="628"/>
      <c r="H64" s="623"/>
      <c r="I64" s="612"/>
      <c r="M64" s="613"/>
      <c r="N64" s="553">
        <f>IFERROR(VLOOKUP(G64,Ch5_Storage,2, FALSE),0)</f>
        <v>0</v>
      </c>
    </row>
    <row r="65" ht="18.75" customHeight="1">
      <c r="A65" s="598">
        <f>IFERROR(VLOOKUP(H65,PartyStorage,2, FALSE),0)</f>
        <v>0</v>
      </c>
      <c r="B65" s="599"/>
      <c r="C65" s="600"/>
      <c r="D65" s="601"/>
      <c r="E65" s="601"/>
      <c r="F65" s="602"/>
      <c r="G65" s="603"/>
      <c r="H65" s="604"/>
      <c r="I65" s="605"/>
      <c r="M65" s="378"/>
      <c r="N65" s="553">
        <f>IFERROR(VLOOKUP(G65,Ch5_Storage,2, FALSE),0)</f>
        <v>0</v>
      </c>
    </row>
    <row r="66" ht="18.75" customHeight="1">
      <c r="A66" s="598">
        <f>IFERROR(VLOOKUP(H66,PartyStorage,2, FALSE),0)</f>
        <v>0</v>
      </c>
      <c r="B66" s="606"/>
      <c r="C66" s="607"/>
      <c r="D66" s="608"/>
      <c r="E66" s="608" t="str">
        <f t="shared" ref="E66:E78" si="4">IF(ISBLANK(D66),"",B66*D66)</f>
        <v/>
      </c>
      <c r="F66" s="609"/>
      <c r="G66" s="610"/>
      <c r="H66" s="611"/>
      <c r="I66" s="612"/>
      <c r="M66" s="613"/>
      <c r="N66" s="553">
        <f>IFERROR(VLOOKUP(G66,Ch5_Storage,2, FALSE),0)</f>
        <v>0</v>
      </c>
    </row>
    <row r="67" ht="18.75" customHeight="1">
      <c r="A67" s="598">
        <f>IFERROR(VLOOKUP(H67,PartyStorage,2, FALSE),0)</f>
        <v>0</v>
      </c>
      <c r="B67" s="599"/>
      <c r="C67" s="644"/>
      <c r="D67" s="601"/>
      <c r="E67" s="601" t="str">
        <f t="shared" si="4"/>
        <v/>
      </c>
      <c r="F67" s="600"/>
      <c r="G67" s="603"/>
      <c r="H67" s="604"/>
      <c r="I67" s="619"/>
      <c r="M67" s="378"/>
      <c r="N67" s="553">
        <f>IFERROR(VLOOKUP(G67,Ch5_Storage,2, FALSE),0)</f>
        <v>0</v>
      </c>
    </row>
    <row r="68" ht="18.75" customHeight="1">
      <c r="A68" s="598">
        <f>IFERROR(VLOOKUP(H68,PartyStorage,2, FALSE),0)</f>
        <v>0</v>
      </c>
      <c r="B68" s="606"/>
      <c r="C68" s="645"/>
      <c r="D68" s="608"/>
      <c r="E68" s="608" t="str">
        <f t="shared" si="4"/>
        <v/>
      </c>
      <c r="F68" s="607"/>
      <c r="G68" s="610"/>
      <c r="H68" s="611"/>
      <c r="I68" s="637"/>
      <c r="M68" s="613"/>
      <c r="N68" s="553">
        <f>IFERROR(VLOOKUP(G68,Ch5_Storage,2, FALSE),0)</f>
        <v>0</v>
      </c>
    </row>
    <row r="69" ht="18.75" customHeight="1">
      <c r="A69" s="598">
        <f>IFERROR(VLOOKUP(H69,PartyStorage,2, FALSE),0)</f>
        <v>0</v>
      </c>
      <c r="B69" s="599"/>
      <c r="C69" s="644"/>
      <c r="D69" s="601"/>
      <c r="E69" s="601" t="str">
        <f t="shared" si="4"/>
        <v/>
      </c>
      <c r="F69" s="600"/>
      <c r="G69" s="603"/>
      <c r="H69" s="604"/>
      <c r="I69" s="605"/>
      <c r="M69" s="378"/>
      <c r="N69" s="553">
        <f>IFERROR(VLOOKUP(G69,Ch5_Storage,2, FALSE),0)</f>
        <v>0</v>
      </c>
    </row>
    <row r="70" ht="18.75" customHeight="1">
      <c r="A70" s="598">
        <f>IFERROR(VLOOKUP(H70,PartyStorage,2, FALSE),0)</f>
        <v>0</v>
      </c>
      <c r="B70" s="606"/>
      <c r="C70" s="646"/>
      <c r="D70" s="608"/>
      <c r="E70" s="608" t="str">
        <f t="shared" si="4"/>
        <v/>
      </c>
      <c r="F70" s="607"/>
      <c r="G70" s="610"/>
      <c r="H70" s="611"/>
      <c r="I70" s="637"/>
      <c r="M70" s="613"/>
      <c r="N70" s="553">
        <f>IFERROR(VLOOKUP(G70,Ch5_Storage,2, FALSE),0)</f>
        <v>0</v>
      </c>
    </row>
    <row r="71" ht="18.75" customHeight="1">
      <c r="A71" s="598">
        <f>IFERROR(VLOOKUP(H71,PartyStorage,2, FALSE),0)</f>
        <v>0</v>
      </c>
      <c r="B71" s="599"/>
      <c r="C71" s="644"/>
      <c r="D71" s="601"/>
      <c r="E71" s="601" t="str">
        <f t="shared" si="4"/>
        <v/>
      </c>
      <c r="F71" s="600"/>
      <c r="G71" s="603"/>
      <c r="H71" s="604"/>
      <c r="I71" s="619"/>
      <c r="M71" s="378"/>
      <c r="N71" s="553">
        <f>IFERROR(VLOOKUP(G71,Ch5_Storage,2, FALSE),0)</f>
        <v>0</v>
      </c>
    </row>
    <row r="72" ht="18.75" customHeight="1">
      <c r="A72" s="598">
        <f>IFERROR(VLOOKUP(H72,PartyStorage,2, FALSE),0)</f>
        <v>0</v>
      </c>
      <c r="B72" s="606"/>
      <c r="C72" s="645"/>
      <c r="D72" s="608"/>
      <c r="E72" s="608" t="str">
        <f t="shared" si="4"/>
        <v/>
      </c>
      <c r="F72" s="607"/>
      <c r="G72" s="610"/>
      <c r="H72" s="611"/>
      <c r="I72" s="612"/>
      <c r="M72" s="613"/>
      <c r="N72" s="553">
        <f>IFERROR(VLOOKUP(G72,Ch5_Storage,2, FALSE),0)</f>
        <v>0</v>
      </c>
    </row>
    <row r="73" ht="18.75" customHeight="1">
      <c r="A73" s="598">
        <f>IFERROR(VLOOKUP(H73,PartyStorage,2, FALSE),0)</f>
        <v>0</v>
      </c>
      <c r="B73" s="599"/>
      <c r="C73" s="647"/>
      <c r="D73" s="601"/>
      <c r="E73" s="601" t="str">
        <f t="shared" si="4"/>
        <v/>
      </c>
      <c r="F73" s="600"/>
      <c r="G73" s="603"/>
      <c r="H73" s="604"/>
      <c r="I73" s="619"/>
      <c r="M73" s="378"/>
      <c r="N73" s="553">
        <f>IFERROR(VLOOKUP(G73,Ch5_Storage,2, FALSE),0)</f>
        <v>0</v>
      </c>
    </row>
    <row r="74" ht="18.75" customHeight="1">
      <c r="A74" s="598">
        <f>IFERROR(VLOOKUP(H74,PartyStorage,2, FALSE),0)</f>
        <v>0</v>
      </c>
      <c r="B74" s="606"/>
      <c r="C74" s="607"/>
      <c r="D74" s="608"/>
      <c r="E74" s="608" t="str">
        <f t="shared" si="4"/>
        <v/>
      </c>
      <c r="F74" s="607"/>
      <c r="G74" s="610"/>
      <c r="H74" s="611"/>
      <c r="I74" s="612"/>
      <c r="M74" s="613"/>
      <c r="N74" s="553">
        <f>IFERROR(VLOOKUP(G74,Ch5_Storage,2, FALSE),0)</f>
        <v>0</v>
      </c>
    </row>
    <row r="75" ht="18.75" customHeight="1">
      <c r="A75" s="598">
        <f>IFERROR(VLOOKUP(H75,PartyStorage,2, FALSE),0)</f>
        <v>0</v>
      </c>
      <c r="B75" s="599"/>
      <c r="C75" s="647"/>
      <c r="D75" s="601"/>
      <c r="E75" s="601" t="str">
        <f t="shared" si="4"/>
        <v/>
      </c>
      <c r="F75" s="600"/>
      <c r="G75" s="603"/>
      <c r="H75" s="604"/>
      <c r="I75" s="619"/>
      <c r="M75" s="378"/>
      <c r="N75" s="553">
        <f>IFERROR(VLOOKUP(G75,Ch5_Storage,2, FALSE),0)</f>
        <v>0</v>
      </c>
    </row>
    <row r="76" ht="18.75" customHeight="1">
      <c r="A76" s="598">
        <f>IFERROR(VLOOKUP(H76,PartyStorage,2, FALSE),0)</f>
        <v>0</v>
      </c>
      <c r="B76" s="606"/>
      <c r="C76" s="645"/>
      <c r="D76" s="608"/>
      <c r="E76" s="608" t="str">
        <f t="shared" si="4"/>
        <v/>
      </c>
      <c r="F76" s="607"/>
      <c r="G76" s="610"/>
      <c r="H76" s="611"/>
      <c r="I76" s="637"/>
      <c r="M76" s="613"/>
      <c r="N76" s="553">
        <f>IFERROR(VLOOKUP(G76,Ch5_Storage,2, FALSE),0)</f>
        <v>0</v>
      </c>
    </row>
    <row r="77" ht="18.75" customHeight="1">
      <c r="A77" s="598">
        <f>IFERROR(VLOOKUP(H77,PartyStorage,2, FALSE),0)</f>
        <v>0</v>
      </c>
      <c r="B77" s="599"/>
      <c r="C77" s="647"/>
      <c r="D77" s="601"/>
      <c r="E77" s="601" t="str">
        <f t="shared" si="4"/>
        <v/>
      </c>
      <c r="F77" s="600"/>
      <c r="G77" s="603"/>
      <c r="H77" s="604"/>
      <c r="I77" s="619"/>
      <c r="M77" s="378"/>
      <c r="N77" s="553">
        <f>IFERROR(VLOOKUP(G77,Ch5_Storage,2, FALSE),0)</f>
        <v>0</v>
      </c>
    </row>
    <row r="78" ht="18.75" customHeight="1">
      <c r="A78" s="598">
        <f>IFERROR(VLOOKUP(H78,PartyStorage,2, FALSE),0)</f>
        <v>0</v>
      </c>
      <c r="B78" s="606"/>
      <c r="C78" s="645"/>
      <c r="D78" s="608"/>
      <c r="E78" s="608" t="str">
        <f t="shared" si="4"/>
        <v/>
      </c>
      <c r="F78" s="607"/>
      <c r="G78" s="610"/>
      <c r="H78" s="611"/>
      <c r="I78" s="637"/>
      <c r="M78" s="613"/>
      <c r="N78" s="553">
        <f>IFERROR(VLOOKUP(G78,Ch5_Storage,2, FALSE),0)</f>
        <v>0</v>
      </c>
    </row>
    <row r="79" ht="18.75" customHeight="1">
      <c r="A79" s="598">
        <f>IFERROR(VLOOKUP(H79,PartyStorage,2, FALSE),0)</f>
        <v>0</v>
      </c>
      <c r="B79" s="599"/>
      <c r="C79" s="600"/>
      <c r="D79" s="648"/>
      <c r="E79" s="601" t="s">
        <v>72</v>
      </c>
      <c r="F79" s="649"/>
      <c r="G79" s="603"/>
      <c r="H79" s="604"/>
      <c r="I79" s="605"/>
      <c r="M79" s="378"/>
      <c r="N79" s="553">
        <f>IFERROR(VLOOKUP(G79,Ch5_Storage,2, FALSE),0)</f>
        <v>0</v>
      </c>
    </row>
    <row r="80" ht="18.75" customHeight="1">
      <c r="A80" s="598">
        <f>IFERROR(VLOOKUP(H80,PartyStorage,2, FALSE),0)</f>
        <v>0</v>
      </c>
      <c r="B80" s="606"/>
      <c r="C80" s="645"/>
      <c r="D80" s="608"/>
      <c r="E80" s="608" t="str">
        <f t="shared" ref="E80:E83" si="5">IF(ISBLANK(D80),"",B80*D80)</f>
        <v/>
      </c>
      <c r="F80" s="607"/>
      <c r="G80" s="610"/>
      <c r="H80" s="611"/>
      <c r="I80" s="637"/>
      <c r="M80" s="613"/>
      <c r="N80" s="553">
        <f>IFERROR(VLOOKUP(G80,Ch5_Storage,2, FALSE),0)</f>
        <v>0</v>
      </c>
    </row>
    <row r="81" ht="18.75" customHeight="1">
      <c r="A81" s="598">
        <f>IFERROR(VLOOKUP(H81,PartyStorage,2, FALSE),0)</f>
        <v>0</v>
      </c>
      <c r="B81" s="599"/>
      <c r="C81" s="644"/>
      <c r="D81" s="601"/>
      <c r="E81" s="601" t="str">
        <f t="shared" si="5"/>
        <v/>
      </c>
      <c r="F81" s="602"/>
      <c r="G81" s="603"/>
      <c r="H81" s="604"/>
      <c r="I81" s="619"/>
      <c r="M81" s="378"/>
      <c r="N81" s="553">
        <f>IFERROR(VLOOKUP(G81,Ch5_Storage,2, FALSE),0)</f>
        <v>0</v>
      </c>
    </row>
    <row r="82" ht="18.75" customHeight="1">
      <c r="A82" s="598">
        <f>IFERROR(VLOOKUP(H82,PartyStorage,2, FALSE),0)</f>
        <v>0</v>
      </c>
      <c r="B82" s="606"/>
      <c r="C82" s="645"/>
      <c r="D82" s="608"/>
      <c r="E82" s="608" t="str">
        <f t="shared" si="5"/>
        <v/>
      </c>
      <c r="F82" s="609"/>
      <c r="G82" s="610"/>
      <c r="H82" s="611"/>
      <c r="I82" s="637"/>
      <c r="M82" s="613"/>
      <c r="N82" s="553">
        <f>IFERROR(VLOOKUP(G82,Ch5_Storage,2, FALSE),0)</f>
        <v>0</v>
      </c>
    </row>
    <row r="83" ht="18.75" customHeight="1">
      <c r="A83" s="598">
        <f>IFERROR(VLOOKUP(H83,PartyStorage,2, FALSE),0)</f>
        <v>0</v>
      </c>
      <c r="B83" s="599"/>
      <c r="C83" s="600"/>
      <c r="D83" s="601"/>
      <c r="E83" s="601" t="str">
        <f t="shared" si="5"/>
        <v/>
      </c>
      <c r="F83" s="602"/>
      <c r="G83" s="603"/>
      <c r="H83" s="604"/>
      <c r="I83" s="605"/>
      <c r="M83" s="378"/>
      <c r="N83" s="553">
        <f>IFERROR(VLOOKUP(G83,Ch5_Storage,2, FALSE),0)</f>
        <v>0</v>
      </c>
    </row>
    <row r="84" ht="18.75" customHeight="1">
      <c r="A84" s="598">
        <f>IFERROR(VLOOKUP(H84,PartyStorage,2, FALSE),0)</f>
        <v>0</v>
      </c>
      <c r="B84" s="606"/>
      <c r="C84" s="645"/>
      <c r="D84" s="608"/>
      <c r="E84" s="608"/>
      <c r="F84" s="609"/>
      <c r="G84" s="610"/>
      <c r="H84" s="611"/>
      <c r="I84" s="637"/>
      <c r="M84" s="613"/>
      <c r="N84" s="553">
        <f>IFERROR(VLOOKUP(G84,Ch5_Storage,2, FALSE),0)</f>
        <v>0</v>
      </c>
    </row>
    <row r="85" ht="18.75" customHeight="1">
      <c r="A85" s="598">
        <f>IFERROR(VLOOKUP(H85,PartyStorage,2, FALSE),0)</f>
        <v>0</v>
      </c>
      <c r="B85" s="599"/>
      <c r="C85" s="600"/>
      <c r="D85" s="601"/>
      <c r="E85" s="601" t="str">
        <f t="shared" ref="E85:E208" si="6">IF(ISBLANK(D85),"",B85*D85)</f>
        <v/>
      </c>
      <c r="F85" s="602"/>
      <c r="G85" s="603"/>
      <c r="H85" s="604"/>
      <c r="I85" s="605"/>
      <c r="M85" s="378"/>
      <c r="N85" s="553">
        <f>IFERROR(VLOOKUP(G85,Ch5_Storage,2, FALSE),0)</f>
        <v>0</v>
      </c>
    </row>
    <row r="86" ht="18.75" customHeight="1">
      <c r="A86" s="598">
        <f>IFERROR(VLOOKUP(H86,PartyStorage,2, FALSE),0)</f>
        <v>0</v>
      </c>
      <c r="B86" s="606"/>
      <c r="C86" s="645"/>
      <c r="D86" s="608"/>
      <c r="E86" s="608" t="str">
        <f t="shared" si="6"/>
        <v/>
      </c>
      <c r="F86" s="607"/>
      <c r="G86" s="610"/>
      <c r="H86" s="611"/>
      <c r="I86" s="637"/>
      <c r="M86" s="613"/>
      <c r="N86" s="553">
        <f>IFERROR(VLOOKUP(G86,Ch5_Storage,2, FALSE),0)</f>
        <v>0</v>
      </c>
    </row>
    <row r="87" ht="18.75" customHeight="1">
      <c r="A87" s="598">
        <f>IFERROR(VLOOKUP(H87,PartyStorage,2, FALSE),0)</f>
        <v>0</v>
      </c>
      <c r="B87" s="374"/>
      <c r="C87" s="412"/>
      <c r="D87" s="375"/>
      <c r="E87" s="601" t="str">
        <f t="shared" si="6"/>
        <v/>
      </c>
      <c r="F87" s="325"/>
      <c r="G87" s="603"/>
      <c r="H87" s="604"/>
      <c r="I87" s="650"/>
      <c r="J87" s="650"/>
      <c r="K87" s="650"/>
      <c r="L87" s="650"/>
      <c r="M87" s="651"/>
      <c r="N87" s="553">
        <f>IFERROR(VLOOKUP(G87,Ch5_Storage,2, FALSE),0)</f>
        <v>0</v>
      </c>
    </row>
    <row r="88" ht="18.75" customHeight="1">
      <c r="A88" s="598">
        <f>IFERROR(VLOOKUP(H88,PartyStorage,2, FALSE),0)</f>
        <v>0</v>
      </c>
      <c r="B88" s="606"/>
      <c r="C88" s="645"/>
      <c r="D88" s="608"/>
      <c r="E88" s="608" t="str">
        <f t="shared" si="6"/>
        <v/>
      </c>
      <c r="F88" s="609"/>
      <c r="G88" s="610"/>
      <c r="H88" s="611"/>
      <c r="I88" s="612"/>
      <c r="M88" s="613"/>
      <c r="N88" s="553">
        <f>IFERROR(VLOOKUP(G88,Ch5_Storage,2, FALSE),0)</f>
        <v>0</v>
      </c>
    </row>
    <row r="89" ht="18.75" customHeight="1">
      <c r="A89" s="598">
        <f>IFERROR(VLOOKUP(H89,PartyStorage,2, FALSE),0)</f>
        <v>0</v>
      </c>
      <c r="B89" s="599"/>
      <c r="C89" s="644"/>
      <c r="D89" s="601"/>
      <c r="E89" s="601" t="str">
        <f t="shared" si="6"/>
        <v/>
      </c>
      <c r="F89" s="602"/>
      <c r="G89" s="603"/>
      <c r="H89" s="604"/>
      <c r="I89" s="605"/>
      <c r="M89" s="378"/>
      <c r="N89" s="553">
        <f>IFERROR(VLOOKUP(G89,Ch5_Storage,2, FALSE),0)</f>
        <v>0</v>
      </c>
    </row>
    <row r="90" ht="18.75" customHeight="1">
      <c r="A90" s="598">
        <f>IFERROR(VLOOKUP(H90,PartyStorage,2, FALSE),0)</f>
        <v>0</v>
      </c>
      <c r="B90" s="606"/>
      <c r="C90" s="645"/>
      <c r="D90" s="608"/>
      <c r="E90" s="608" t="str">
        <f t="shared" si="6"/>
        <v/>
      </c>
      <c r="F90" s="609"/>
      <c r="G90" s="610"/>
      <c r="H90" s="611"/>
      <c r="I90" s="612"/>
      <c r="M90" s="613"/>
      <c r="N90" s="553">
        <f>IFERROR(VLOOKUP(G90,Ch5_Storage,2, FALSE),0)</f>
        <v>0</v>
      </c>
    </row>
    <row r="91" ht="18.75" customHeight="1">
      <c r="A91" s="598">
        <f>IFERROR(VLOOKUP(H91,PartyStorage,2, FALSE),0)</f>
        <v>0</v>
      </c>
      <c r="B91" s="599"/>
      <c r="C91" s="644"/>
      <c r="D91" s="601"/>
      <c r="E91" s="601" t="str">
        <f t="shared" si="6"/>
        <v/>
      </c>
      <c r="F91" s="602"/>
      <c r="G91" s="603"/>
      <c r="H91" s="604"/>
      <c r="I91" s="605"/>
      <c r="M91" s="378"/>
      <c r="N91" s="553">
        <f>IFERROR(VLOOKUP(G91,Ch5_Storage,2, FALSE),0)</f>
        <v>0</v>
      </c>
    </row>
    <row r="92" ht="18.75" customHeight="1">
      <c r="A92" s="598">
        <f>IFERROR(VLOOKUP(H92,PartyStorage,2, FALSE),0)</f>
        <v>0</v>
      </c>
      <c r="B92" s="606"/>
      <c r="C92" s="645"/>
      <c r="D92" s="608"/>
      <c r="E92" s="608" t="str">
        <f t="shared" si="6"/>
        <v/>
      </c>
      <c r="F92" s="609"/>
      <c r="G92" s="610"/>
      <c r="H92" s="611"/>
      <c r="I92" s="612"/>
      <c r="M92" s="613"/>
      <c r="N92" s="553">
        <f>IFERROR(VLOOKUP(G92,Ch5_Storage,2, FALSE),0)</f>
        <v>0</v>
      </c>
    </row>
    <row r="93" ht="18.75" customHeight="1">
      <c r="A93" s="598">
        <f>IFERROR(VLOOKUP(H93,PartyStorage,2, FALSE),0)</f>
        <v>0</v>
      </c>
      <c r="B93" s="599"/>
      <c r="C93" s="644"/>
      <c r="D93" s="601"/>
      <c r="E93" s="601" t="str">
        <f t="shared" si="6"/>
        <v/>
      </c>
      <c r="F93" s="602"/>
      <c r="G93" s="603"/>
      <c r="H93" s="604"/>
      <c r="I93" s="605"/>
      <c r="M93" s="378"/>
      <c r="N93" s="553">
        <f>IFERROR(VLOOKUP(G93,Ch5_Storage,2, FALSE),0)</f>
        <v>0</v>
      </c>
    </row>
    <row r="94" ht="18.75" customHeight="1">
      <c r="A94" s="598">
        <f>IFERROR(VLOOKUP(H94,PartyStorage,2, FALSE),0)</f>
        <v>0</v>
      </c>
      <c r="B94" s="606"/>
      <c r="C94" s="607"/>
      <c r="D94" s="652"/>
      <c r="E94" s="608" t="str">
        <f t="shared" si="6"/>
        <v/>
      </c>
      <c r="F94" s="609"/>
      <c r="G94" s="610"/>
      <c r="H94" s="611"/>
      <c r="I94" s="612"/>
      <c r="M94" s="613"/>
      <c r="N94" s="553">
        <f>IFERROR(VLOOKUP(G94,Ch5_Storage,2, FALSE),0)</f>
        <v>0</v>
      </c>
    </row>
    <row r="95" ht="18.75" customHeight="1">
      <c r="A95" s="598">
        <f>IFERROR(VLOOKUP(H95,PartyStorage,2, FALSE),0)</f>
        <v>0</v>
      </c>
      <c r="B95" s="599"/>
      <c r="C95" s="600"/>
      <c r="D95" s="648"/>
      <c r="E95" s="601" t="str">
        <f t="shared" si="6"/>
        <v/>
      </c>
      <c r="F95" s="602"/>
      <c r="G95" s="603"/>
      <c r="H95" s="604"/>
      <c r="I95" s="605"/>
      <c r="M95" s="378"/>
      <c r="N95" s="553">
        <f>IFERROR(VLOOKUP(G95,Ch5_Storage,2, FALSE),0)</f>
        <v>0</v>
      </c>
    </row>
    <row r="96" ht="18.75" customHeight="1">
      <c r="A96" s="598">
        <f>IFERROR(VLOOKUP(H96,PartyStorage,2, FALSE),0)</f>
        <v>0</v>
      </c>
      <c r="B96" s="653"/>
      <c r="C96" s="609"/>
      <c r="D96" s="652"/>
      <c r="E96" s="608" t="str">
        <f t="shared" si="6"/>
        <v/>
      </c>
      <c r="F96" s="609"/>
      <c r="G96" s="610"/>
      <c r="H96" s="611"/>
      <c r="I96" s="612"/>
      <c r="M96" s="613"/>
      <c r="N96" s="553">
        <f>IFERROR(VLOOKUP(G96,Ch5_Storage,2, FALSE),0)</f>
        <v>0</v>
      </c>
    </row>
    <row r="97" ht="18.75" customHeight="1">
      <c r="A97" s="598">
        <f>IFERROR(VLOOKUP(H97,PartyStorage,2, FALSE),0)</f>
        <v>0</v>
      </c>
      <c r="B97" s="654"/>
      <c r="C97" s="602"/>
      <c r="D97" s="648"/>
      <c r="E97" s="601" t="str">
        <f t="shared" si="6"/>
        <v/>
      </c>
      <c r="F97" s="602"/>
      <c r="G97" s="603"/>
      <c r="H97" s="604"/>
      <c r="I97" s="605"/>
      <c r="M97" s="378"/>
      <c r="N97" s="553">
        <f>IFERROR(VLOOKUP(G97,Ch5_Storage,2, FALSE),0)</f>
        <v>0</v>
      </c>
    </row>
    <row r="98" ht="18.75" customHeight="1">
      <c r="A98" s="598">
        <f>IFERROR(VLOOKUP(H98,PartyStorage,2, FALSE),0)</f>
        <v>0</v>
      </c>
      <c r="B98" s="653"/>
      <c r="C98" s="609"/>
      <c r="D98" s="652"/>
      <c r="E98" s="608" t="str">
        <f t="shared" si="6"/>
        <v/>
      </c>
      <c r="F98" s="609"/>
      <c r="G98" s="610"/>
      <c r="H98" s="611"/>
      <c r="I98" s="612"/>
      <c r="M98" s="613"/>
      <c r="N98" s="553">
        <f>IFERROR(VLOOKUP(G98,Ch5_Storage,2, FALSE),0)</f>
        <v>0</v>
      </c>
    </row>
    <row r="99" ht="18.75" customHeight="1">
      <c r="A99" s="598">
        <f>IFERROR(VLOOKUP(H99,PartyStorage,2, FALSE),0)</f>
        <v>0</v>
      </c>
      <c r="B99" s="654"/>
      <c r="C99" s="602"/>
      <c r="D99" s="648"/>
      <c r="E99" s="601" t="str">
        <f t="shared" si="6"/>
        <v/>
      </c>
      <c r="F99" s="602"/>
      <c r="G99" s="603"/>
      <c r="H99" s="604"/>
      <c r="I99" s="605"/>
      <c r="M99" s="378"/>
      <c r="N99" s="553">
        <f>IFERROR(VLOOKUP(G99,Ch5_Storage,2, FALSE),0)</f>
        <v>0</v>
      </c>
    </row>
    <row r="100" ht="18.75" customHeight="1">
      <c r="A100" s="598">
        <f>IFERROR(VLOOKUP(H100,PartyStorage,2, FALSE),0)</f>
        <v>0</v>
      </c>
      <c r="B100" s="653"/>
      <c r="C100" s="609"/>
      <c r="D100" s="652"/>
      <c r="E100" s="608" t="str">
        <f t="shared" si="6"/>
        <v/>
      </c>
      <c r="F100" s="609"/>
      <c r="G100" s="610"/>
      <c r="H100" s="611"/>
      <c r="I100" s="612"/>
      <c r="M100" s="613"/>
      <c r="N100" s="553">
        <f>IFERROR(VLOOKUP(G100,Ch5_Storage,2, FALSE),0)</f>
        <v>0</v>
      </c>
    </row>
    <row r="101" ht="18.75" customHeight="1">
      <c r="A101" s="598">
        <f>IFERROR(VLOOKUP(H101,PartyStorage,2, FALSE),0)</f>
        <v>0</v>
      </c>
      <c r="B101" s="654"/>
      <c r="C101" s="602"/>
      <c r="D101" s="648"/>
      <c r="E101" s="601" t="str">
        <f t="shared" si="6"/>
        <v/>
      </c>
      <c r="F101" s="602"/>
      <c r="G101" s="603"/>
      <c r="H101" s="604"/>
      <c r="I101" s="605"/>
      <c r="M101" s="378"/>
      <c r="N101" s="553">
        <f>IFERROR(VLOOKUP(G101,Ch5_Storage,2, FALSE),0)</f>
        <v>0</v>
      </c>
    </row>
    <row r="102" ht="18.75" customHeight="1">
      <c r="A102" s="598">
        <f>IFERROR(VLOOKUP(H102,PartyStorage,2, FALSE),0)</f>
        <v>0</v>
      </c>
      <c r="B102" s="653"/>
      <c r="C102" s="609"/>
      <c r="D102" s="652"/>
      <c r="E102" s="608" t="str">
        <f t="shared" si="6"/>
        <v/>
      </c>
      <c r="F102" s="609"/>
      <c r="G102" s="610"/>
      <c r="H102" s="611"/>
      <c r="I102" s="612"/>
      <c r="M102" s="613"/>
      <c r="N102" s="553">
        <f>IFERROR(VLOOKUP(G102,Ch5_Storage,2, FALSE),0)</f>
        <v>0</v>
      </c>
    </row>
    <row r="103" ht="18.75" customHeight="1">
      <c r="A103" s="598">
        <f>IFERROR(VLOOKUP(H103,PartyStorage,2, FALSE),0)</f>
        <v>0</v>
      </c>
      <c r="B103" s="654"/>
      <c r="C103" s="602"/>
      <c r="D103" s="648"/>
      <c r="E103" s="601" t="str">
        <f t="shared" si="6"/>
        <v/>
      </c>
      <c r="F103" s="602"/>
      <c r="G103" s="603"/>
      <c r="H103" s="604"/>
      <c r="I103" s="605"/>
      <c r="M103" s="378"/>
      <c r="N103" s="553">
        <f>IFERROR(VLOOKUP(G103,Ch5_Storage,2, FALSE),0)</f>
        <v>0</v>
      </c>
    </row>
    <row r="104" ht="18.75" customHeight="1">
      <c r="A104" s="598">
        <f>IFERROR(VLOOKUP(H104,PartyStorage,2, FALSE),0)</f>
        <v>0</v>
      </c>
      <c r="B104" s="653"/>
      <c r="C104" s="609"/>
      <c r="D104" s="652"/>
      <c r="E104" s="608" t="str">
        <f t="shared" si="6"/>
        <v/>
      </c>
      <c r="F104" s="609"/>
      <c r="G104" s="610"/>
      <c r="H104" s="611"/>
      <c r="I104" s="612"/>
      <c r="M104" s="613"/>
      <c r="N104" s="553">
        <f>IFERROR(VLOOKUP(G104,Ch5_Storage,2, FALSE),0)</f>
        <v>0</v>
      </c>
    </row>
    <row r="105" ht="18.75" customHeight="1">
      <c r="A105" s="598">
        <f>IFERROR(VLOOKUP(H105,PartyStorage,2, FALSE),0)</f>
        <v>0</v>
      </c>
      <c r="B105" s="654"/>
      <c r="C105" s="602"/>
      <c r="D105" s="648"/>
      <c r="E105" s="601" t="str">
        <f t="shared" si="6"/>
        <v/>
      </c>
      <c r="F105" s="602"/>
      <c r="G105" s="603"/>
      <c r="H105" s="604"/>
      <c r="I105" s="605"/>
      <c r="M105" s="378"/>
      <c r="N105" s="553">
        <f>IFERROR(VLOOKUP(G105,Ch5_Storage,2, FALSE),0)</f>
        <v>0</v>
      </c>
    </row>
    <row r="106" ht="18.75" customHeight="1">
      <c r="A106" s="598">
        <f>IFERROR(VLOOKUP(H106,PartyStorage,2, FALSE),0)</f>
        <v>0</v>
      </c>
      <c r="B106" s="653"/>
      <c r="C106" s="609"/>
      <c r="D106" s="652"/>
      <c r="E106" s="608" t="str">
        <f t="shared" si="6"/>
        <v/>
      </c>
      <c r="F106" s="609"/>
      <c r="G106" s="610"/>
      <c r="H106" s="611"/>
      <c r="I106" s="612"/>
      <c r="M106" s="613"/>
      <c r="N106" s="553">
        <f>IFERROR(VLOOKUP(G106,Ch5_Storage,2, FALSE),0)</f>
        <v>0</v>
      </c>
    </row>
    <row r="107" ht="18.75" customHeight="1">
      <c r="A107" s="598">
        <f>IFERROR(VLOOKUP(H107,PartyStorage,2, FALSE),0)</f>
        <v>0</v>
      </c>
      <c r="B107" s="654"/>
      <c r="C107" s="602"/>
      <c r="D107" s="648"/>
      <c r="E107" s="601" t="str">
        <f t="shared" si="6"/>
        <v/>
      </c>
      <c r="F107" s="602"/>
      <c r="G107" s="603"/>
      <c r="H107" s="604"/>
      <c r="I107" s="605"/>
      <c r="M107" s="378"/>
      <c r="N107" s="553">
        <f>IFERROR(VLOOKUP(G107,Ch5_Storage,2, FALSE),0)</f>
        <v>0</v>
      </c>
    </row>
    <row r="108" ht="18.75" customHeight="1">
      <c r="A108" s="598">
        <f>IFERROR(VLOOKUP(H108,PartyStorage,2, FALSE),0)</f>
        <v>0</v>
      </c>
      <c r="B108" s="653"/>
      <c r="C108" s="609"/>
      <c r="D108" s="652"/>
      <c r="E108" s="608" t="str">
        <f t="shared" si="6"/>
        <v/>
      </c>
      <c r="F108" s="609"/>
      <c r="G108" s="610"/>
      <c r="H108" s="611"/>
      <c r="I108" s="612"/>
      <c r="M108" s="613"/>
      <c r="N108" s="553">
        <f>IFERROR(VLOOKUP(G108,Ch5_Storage,2, FALSE),0)</f>
        <v>0</v>
      </c>
    </row>
    <row r="109" ht="18.75" customHeight="1">
      <c r="A109" s="598">
        <f>IFERROR(VLOOKUP(H109,PartyStorage,2, FALSE),0)</f>
        <v>0</v>
      </c>
      <c r="B109" s="654"/>
      <c r="C109" s="602"/>
      <c r="D109" s="648"/>
      <c r="E109" s="601" t="str">
        <f t="shared" si="6"/>
        <v/>
      </c>
      <c r="F109" s="602"/>
      <c r="G109" s="603"/>
      <c r="H109" s="604"/>
      <c r="I109" s="605"/>
      <c r="M109" s="378"/>
      <c r="N109" s="553">
        <f>IFERROR(VLOOKUP(G109,Ch5_Storage,2, FALSE),0)</f>
        <v>0</v>
      </c>
    </row>
    <row r="110" ht="18.75" customHeight="1">
      <c r="A110" s="598">
        <f>IFERROR(VLOOKUP(H110,PartyStorage,2, FALSE),0)</f>
        <v>0</v>
      </c>
      <c r="B110" s="653"/>
      <c r="C110" s="609"/>
      <c r="D110" s="652"/>
      <c r="E110" s="608" t="str">
        <f t="shared" si="6"/>
        <v/>
      </c>
      <c r="F110" s="609"/>
      <c r="G110" s="610"/>
      <c r="H110" s="611"/>
      <c r="I110" s="612"/>
      <c r="M110" s="613"/>
      <c r="N110" s="553">
        <f>IFERROR(VLOOKUP(G110,Ch5_Storage,2, FALSE),0)</f>
        <v>0</v>
      </c>
    </row>
    <row r="111" ht="18.75" customHeight="1">
      <c r="A111" s="598">
        <f>IFERROR(VLOOKUP(H111,PartyStorage,2, FALSE),0)</f>
        <v>0</v>
      </c>
      <c r="B111" s="654"/>
      <c r="C111" s="602"/>
      <c r="D111" s="648"/>
      <c r="E111" s="601" t="str">
        <f t="shared" si="6"/>
        <v/>
      </c>
      <c r="F111" s="602"/>
      <c r="G111" s="603"/>
      <c r="H111" s="604"/>
      <c r="I111" s="605"/>
      <c r="M111" s="378"/>
      <c r="N111" s="553">
        <f>IFERROR(VLOOKUP(G111,Ch5_Storage,2, FALSE),0)</f>
        <v>0</v>
      </c>
    </row>
    <row r="112" ht="18.75" customHeight="1">
      <c r="A112" s="598">
        <f>IFERROR(VLOOKUP(H112,PartyStorage,2, FALSE),0)</f>
        <v>0</v>
      </c>
      <c r="B112" s="653"/>
      <c r="C112" s="609"/>
      <c r="D112" s="652"/>
      <c r="E112" s="608" t="str">
        <f t="shared" si="6"/>
        <v/>
      </c>
      <c r="F112" s="609"/>
      <c r="G112" s="610"/>
      <c r="H112" s="611"/>
      <c r="I112" s="612"/>
      <c r="M112" s="613"/>
      <c r="N112" s="553">
        <f>IFERROR(VLOOKUP(G112,Ch5_Storage,2, FALSE),0)</f>
        <v>0</v>
      </c>
    </row>
    <row r="113" ht="18.75" customHeight="1">
      <c r="A113" s="598">
        <f>IFERROR(VLOOKUP(H113,PartyStorage,2, FALSE),0)</f>
        <v>0</v>
      </c>
      <c r="B113" s="654"/>
      <c r="C113" s="602"/>
      <c r="D113" s="648"/>
      <c r="E113" s="601" t="str">
        <f t="shared" si="6"/>
        <v/>
      </c>
      <c r="F113" s="602"/>
      <c r="G113" s="603"/>
      <c r="H113" s="604"/>
      <c r="I113" s="605"/>
      <c r="M113" s="378"/>
      <c r="N113" s="553">
        <f>IFERROR(VLOOKUP(G113,Ch5_Storage,2, FALSE),0)</f>
        <v>0</v>
      </c>
    </row>
    <row r="114" ht="18.75" customHeight="1">
      <c r="A114" s="598">
        <f>IFERROR(VLOOKUP(H114,PartyStorage,2, FALSE),0)</f>
        <v>0</v>
      </c>
      <c r="B114" s="653"/>
      <c r="C114" s="609"/>
      <c r="D114" s="652"/>
      <c r="E114" s="608" t="str">
        <f t="shared" si="6"/>
        <v/>
      </c>
      <c r="F114" s="609"/>
      <c r="G114" s="610"/>
      <c r="H114" s="611"/>
      <c r="I114" s="612"/>
      <c r="M114" s="613"/>
      <c r="N114" s="553">
        <f>IFERROR(VLOOKUP(G114,Ch5_Storage,2, FALSE),0)</f>
        <v>0</v>
      </c>
    </row>
    <row r="115" ht="18.75" customHeight="1">
      <c r="A115" s="598">
        <f>IFERROR(VLOOKUP(H115,PartyStorage,2, FALSE),0)</f>
        <v>0</v>
      </c>
      <c r="B115" s="654"/>
      <c r="C115" s="602"/>
      <c r="D115" s="648"/>
      <c r="E115" s="601" t="str">
        <f t="shared" si="6"/>
        <v/>
      </c>
      <c r="F115" s="602"/>
      <c r="G115" s="603"/>
      <c r="H115" s="604"/>
      <c r="I115" s="605"/>
      <c r="M115" s="378"/>
      <c r="N115" s="553">
        <f>IFERROR(VLOOKUP(G115,Ch5_Storage,2, FALSE),0)</f>
        <v>0</v>
      </c>
    </row>
    <row r="116" ht="18.75" customHeight="1">
      <c r="A116" s="598">
        <f>IFERROR(VLOOKUP(H116,PartyStorage,2, FALSE),0)</f>
        <v>0</v>
      </c>
      <c r="B116" s="653"/>
      <c r="C116" s="609"/>
      <c r="D116" s="652"/>
      <c r="E116" s="608" t="str">
        <f t="shared" si="6"/>
        <v/>
      </c>
      <c r="F116" s="609"/>
      <c r="G116" s="610"/>
      <c r="H116" s="611"/>
      <c r="I116" s="612"/>
      <c r="M116" s="613"/>
      <c r="N116" s="553">
        <f>IFERROR(VLOOKUP(G116,Ch5_Storage,2, FALSE),0)</f>
        <v>0</v>
      </c>
    </row>
    <row r="117" ht="18.75" customHeight="1">
      <c r="A117" s="598">
        <f>IFERROR(VLOOKUP(H117,PartyStorage,2, FALSE),0)</f>
        <v>0</v>
      </c>
      <c r="B117" s="654"/>
      <c r="C117" s="602"/>
      <c r="D117" s="648"/>
      <c r="E117" s="601" t="str">
        <f t="shared" si="6"/>
        <v/>
      </c>
      <c r="F117" s="602"/>
      <c r="G117" s="603"/>
      <c r="H117" s="604"/>
      <c r="I117" s="605"/>
      <c r="M117" s="378"/>
      <c r="N117" s="553">
        <f>IFERROR(VLOOKUP(G117,Ch5_Storage,2, FALSE),0)</f>
        <v>0</v>
      </c>
    </row>
    <row r="118" ht="18.75" customHeight="1">
      <c r="A118" s="598">
        <f>IFERROR(VLOOKUP(H118,PartyStorage,2, FALSE),0)</f>
        <v>0</v>
      </c>
      <c r="B118" s="653"/>
      <c r="C118" s="609"/>
      <c r="D118" s="652"/>
      <c r="E118" s="608" t="str">
        <f t="shared" si="6"/>
        <v/>
      </c>
      <c r="F118" s="609"/>
      <c r="G118" s="610"/>
      <c r="H118" s="611"/>
      <c r="I118" s="612"/>
      <c r="M118" s="613"/>
      <c r="N118" s="553">
        <f>IFERROR(VLOOKUP(G118,Ch5_Storage,2, FALSE),0)</f>
        <v>0</v>
      </c>
    </row>
    <row r="119" ht="18.75" customHeight="1">
      <c r="A119" s="598">
        <f>IFERROR(VLOOKUP(H119,PartyStorage,2, FALSE),0)</f>
        <v>0</v>
      </c>
      <c r="B119" s="654"/>
      <c r="C119" s="602"/>
      <c r="D119" s="648"/>
      <c r="E119" s="601" t="str">
        <f t="shared" si="6"/>
        <v/>
      </c>
      <c r="F119" s="602"/>
      <c r="G119" s="603"/>
      <c r="H119" s="604"/>
      <c r="I119" s="605"/>
      <c r="M119" s="378"/>
      <c r="N119" s="553">
        <f>IFERROR(VLOOKUP(G119,Ch5_Storage,2, FALSE),0)</f>
        <v>0</v>
      </c>
    </row>
    <row r="120" ht="18.75" customHeight="1">
      <c r="A120" s="598">
        <f>IFERROR(VLOOKUP(H120,PartyStorage,2, FALSE),0)</f>
        <v>0</v>
      </c>
      <c r="B120" s="653"/>
      <c r="C120" s="609"/>
      <c r="D120" s="652"/>
      <c r="E120" s="608" t="str">
        <f t="shared" si="6"/>
        <v/>
      </c>
      <c r="F120" s="609"/>
      <c r="G120" s="610"/>
      <c r="H120" s="611"/>
      <c r="I120" s="612"/>
      <c r="M120" s="613"/>
      <c r="N120" s="553">
        <f>IFERROR(VLOOKUP(G120,Ch5_Storage,2, FALSE),0)</f>
        <v>0</v>
      </c>
    </row>
    <row r="121" ht="18.75" customHeight="1">
      <c r="A121" s="598">
        <f>IFERROR(VLOOKUP(H121,PartyStorage,2, FALSE),0)</f>
        <v>0</v>
      </c>
      <c r="B121" s="654"/>
      <c r="C121" s="602"/>
      <c r="D121" s="648"/>
      <c r="E121" s="601" t="str">
        <f t="shared" si="6"/>
        <v/>
      </c>
      <c r="F121" s="602"/>
      <c r="G121" s="603"/>
      <c r="H121" s="604"/>
      <c r="I121" s="605"/>
      <c r="M121" s="378"/>
      <c r="N121" s="553">
        <f>IFERROR(VLOOKUP(G121,Ch5_Storage,2, FALSE),0)</f>
        <v>0</v>
      </c>
    </row>
    <row r="122" ht="18.75" customHeight="1">
      <c r="A122" s="598">
        <f>IFERROR(VLOOKUP(H122,PartyStorage,2, FALSE),0)</f>
        <v>0</v>
      </c>
      <c r="B122" s="653"/>
      <c r="C122" s="609"/>
      <c r="D122" s="652"/>
      <c r="E122" s="608" t="str">
        <f t="shared" si="6"/>
        <v/>
      </c>
      <c r="F122" s="609"/>
      <c r="G122" s="610"/>
      <c r="H122" s="611"/>
      <c r="I122" s="612"/>
      <c r="M122" s="613"/>
      <c r="N122" s="553">
        <f>IFERROR(VLOOKUP(G122,Ch5_Storage,2, FALSE),0)</f>
        <v>0</v>
      </c>
    </row>
    <row r="123" ht="18.75" customHeight="1">
      <c r="A123" s="598">
        <f>IFERROR(VLOOKUP(H123,PartyStorage,2, FALSE),0)</f>
        <v>0</v>
      </c>
      <c r="B123" s="654"/>
      <c r="C123" s="602"/>
      <c r="D123" s="648"/>
      <c r="E123" s="601" t="str">
        <f t="shared" si="6"/>
        <v/>
      </c>
      <c r="F123" s="602"/>
      <c r="G123" s="603"/>
      <c r="H123" s="604"/>
      <c r="I123" s="605"/>
      <c r="M123" s="378"/>
      <c r="N123" s="553">
        <f>IFERROR(VLOOKUP(G123,Ch5_Storage,2, FALSE),0)</f>
        <v>0</v>
      </c>
    </row>
    <row r="124" ht="18.75" customHeight="1">
      <c r="A124" s="598">
        <f>IFERROR(VLOOKUP(H124,PartyStorage,2, FALSE),0)</f>
        <v>0</v>
      </c>
      <c r="B124" s="653"/>
      <c r="C124" s="609"/>
      <c r="D124" s="652"/>
      <c r="E124" s="608" t="str">
        <f t="shared" si="6"/>
        <v/>
      </c>
      <c r="F124" s="609"/>
      <c r="G124" s="610"/>
      <c r="H124" s="611"/>
      <c r="I124" s="612"/>
      <c r="M124" s="613"/>
      <c r="N124" s="553">
        <f>IFERROR(VLOOKUP(G124,Ch5_Storage,2, FALSE),0)</f>
        <v>0</v>
      </c>
    </row>
    <row r="125" ht="18.75" customHeight="1">
      <c r="A125" s="598">
        <f>IFERROR(VLOOKUP(H125,PartyStorage,2, FALSE),0)</f>
        <v>0</v>
      </c>
      <c r="B125" s="654"/>
      <c r="C125" s="602"/>
      <c r="D125" s="648"/>
      <c r="E125" s="601" t="str">
        <f t="shared" si="6"/>
        <v/>
      </c>
      <c r="F125" s="602"/>
      <c r="G125" s="603"/>
      <c r="H125" s="604"/>
      <c r="I125" s="605"/>
      <c r="M125" s="378"/>
      <c r="N125" s="553">
        <f>IFERROR(VLOOKUP(G125,Ch5_Storage,2, FALSE),0)</f>
        <v>0</v>
      </c>
    </row>
    <row r="126" ht="18.75" customHeight="1">
      <c r="A126" s="598">
        <f>IFERROR(VLOOKUP(H126,PartyStorage,2, FALSE),0)</f>
        <v>0</v>
      </c>
      <c r="B126" s="653"/>
      <c r="C126" s="609"/>
      <c r="D126" s="652"/>
      <c r="E126" s="608" t="str">
        <f t="shared" si="6"/>
        <v/>
      </c>
      <c r="F126" s="609"/>
      <c r="G126" s="610"/>
      <c r="H126" s="611"/>
      <c r="I126" s="612"/>
      <c r="M126" s="613"/>
      <c r="N126" s="553">
        <f>IFERROR(VLOOKUP(G126,Ch5_Storage,2, FALSE),0)</f>
        <v>0</v>
      </c>
    </row>
    <row r="127" ht="18.75" customHeight="1">
      <c r="A127" s="598">
        <f>IFERROR(VLOOKUP(H127,PartyStorage,2, FALSE),0)</f>
        <v>0</v>
      </c>
      <c r="B127" s="654"/>
      <c r="C127" s="602"/>
      <c r="D127" s="648"/>
      <c r="E127" s="601" t="str">
        <f t="shared" si="6"/>
        <v/>
      </c>
      <c r="F127" s="602"/>
      <c r="G127" s="603"/>
      <c r="H127" s="604"/>
      <c r="I127" s="605"/>
      <c r="M127" s="378"/>
      <c r="N127" s="553">
        <f>IFERROR(VLOOKUP(G127,Ch5_Storage,2, FALSE),0)</f>
        <v>0</v>
      </c>
    </row>
    <row r="128" ht="18.75" customHeight="1">
      <c r="A128" s="598">
        <f>IFERROR(VLOOKUP(H128,PartyStorage,2, FALSE),0)</f>
        <v>0</v>
      </c>
      <c r="B128" s="653"/>
      <c r="C128" s="609"/>
      <c r="D128" s="652"/>
      <c r="E128" s="608" t="str">
        <f t="shared" si="6"/>
        <v/>
      </c>
      <c r="F128" s="609"/>
      <c r="G128" s="610"/>
      <c r="H128" s="611"/>
      <c r="I128" s="612"/>
      <c r="M128" s="613"/>
      <c r="N128" s="553">
        <f>IFERROR(VLOOKUP(G128,Ch5_Storage,2, FALSE),0)</f>
        <v>0</v>
      </c>
    </row>
    <row r="129" ht="18.75" customHeight="1">
      <c r="A129" s="598">
        <f>IFERROR(VLOOKUP(H129,PartyStorage,2, FALSE),0)</f>
        <v>0</v>
      </c>
      <c r="B129" s="654"/>
      <c r="C129" s="602"/>
      <c r="D129" s="648"/>
      <c r="E129" s="601" t="str">
        <f t="shared" si="6"/>
        <v/>
      </c>
      <c r="F129" s="602"/>
      <c r="G129" s="603"/>
      <c r="H129" s="604"/>
      <c r="I129" s="605"/>
      <c r="M129" s="378"/>
      <c r="N129" s="553">
        <f>IFERROR(VLOOKUP(G129,Ch5_Storage,2, FALSE),0)</f>
        <v>0</v>
      </c>
    </row>
    <row r="130" ht="18.75" customHeight="1">
      <c r="A130" s="598">
        <f>IFERROR(VLOOKUP(H130,PartyStorage,2, FALSE),0)</f>
        <v>0</v>
      </c>
      <c r="B130" s="653"/>
      <c r="C130" s="609"/>
      <c r="D130" s="652"/>
      <c r="E130" s="608" t="str">
        <f t="shared" si="6"/>
        <v/>
      </c>
      <c r="F130" s="609"/>
      <c r="G130" s="610"/>
      <c r="H130" s="611"/>
      <c r="I130" s="612"/>
      <c r="M130" s="613"/>
      <c r="N130" s="553">
        <f>IFERROR(VLOOKUP(G130,Ch5_Storage,2, FALSE),0)</f>
        <v>0</v>
      </c>
    </row>
    <row r="131" ht="18.75" customHeight="1">
      <c r="A131" s="598">
        <f>IFERROR(VLOOKUP(H131,PartyStorage,2, FALSE),0)</f>
        <v>0</v>
      </c>
      <c r="B131" s="654"/>
      <c r="C131" s="602"/>
      <c r="D131" s="648"/>
      <c r="E131" s="601" t="str">
        <f t="shared" si="6"/>
        <v/>
      </c>
      <c r="F131" s="602"/>
      <c r="G131" s="603"/>
      <c r="H131" s="604"/>
      <c r="I131" s="605"/>
      <c r="M131" s="378"/>
      <c r="N131" s="553">
        <f>IFERROR(VLOOKUP(G131,Ch5_Storage,2, FALSE),0)</f>
        <v>0</v>
      </c>
    </row>
    <row r="132" ht="18.75" customHeight="1">
      <c r="A132" s="598">
        <f>IFERROR(VLOOKUP(H132,PartyStorage,2, FALSE),0)</f>
        <v>0</v>
      </c>
      <c r="B132" s="653"/>
      <c r="C132" s="609"/>
      <c r="D132" s="652"/>
      <c r="E132" s="608" t="str">
        <f t="shared" si="6"/>
        <v/>
      </c>
      <c r="F132" s="609"/>
      <c r="G132" s="610"/>
      <c r="H132" s="611"/>
      <c r="I132" s="612"/>
      <c r="M132" s="613"/>
      <c r="N132" s="553">
        <f>IFERROR(VLOOKUP(G132,Ch5_Storage,2, FALSE),0)</f>
        <v>0</v>
      </c>
    </row>
    <row r="133" ht="18.75" customHeight="1">
      <c r="A133" s="598">
        <f>IFERROR(VLOOKUP(H133,PartyStorage,2, FALSE),0)</f>
        <v>0</v>
      </c>
      <c r="B133" s="654"/>
      <c r="C133" s="602"/>
      <c r="D133" s="648"/>
      <c r="E133" s="601" t="str">
        <f t="shared" si="6"/>
        <v/>
      </c>
      <c r="F133" s="602"/>
      <c r="G133" s="603"/>
      <c r="H133" s="604"/>
      <c r="I133" s="605"/>
      <c r="M133" s="378"/>
      <c r="N133" s="553">
        <f>IFERROR(VLOOKUP(G133,Ch5_Storage,2, FALSE),0)</f>
        <v>0</v>
      </c>
    </row>
    <row r="134" ht="18.75" customHeight="1">
      <c r="A134" s="598">
        <f>IFERROR(VLOOKUP(H134,PartyStorage,2, FALSE),0)</f>
        <v>0</v>
      </c>
      <c r="B134" s="653"/>
      <c r="C134" s="609"/>
      <c r="D134" s="652"/>
      <c r="E134" s="608" t="str">
        <f t="shared" si="6"/>
        <v/>
      </c>
      <c r="F134" s="609"/>
      <c r="G134" s="610"/>
      <c r="H134" s="611"/>
      <c r="I134" s="612"/>
      <c r="M134" s="613"/>
      <c r="N134" s="553">
        <f>IFERROR(VLOOKUP(G134,Ch5_Storage,2, FALSE),0)</f>
        <v>0</v>
      </c>
    </row>
    <row r="135" ht="18.75" customHeight="1">
      <c r="A135" s="598">
        <f>IFERROR(VLOOKUP(H135,PartyStorage,2, FALSE),0)</f>
        <v>0</v>
      </c>
      <c r="B135" s="654"/>
      <c r="C135" s="602"/>
      <c r="D135" s="648"/>
      <c r="E135" s="601" t="str">
        <f t="shared" si="6"/>
        <v/>
      </c>
      <c r="F135" s="602"/>
      <c r="G135" s="603"/>
      <c r="H135" s="604"/>
      <c r="I135" s="605"/>
      <c r="M135" s="378"/>
      <c r="N135" s="553">
        <f>IFERROR(VLOOKUP(G135,Ch5_Storage,2, FALSE),0)</f>
        <v>0</v>
      </c>
    </row>
    <row r="136" ht="18.75" customHeight="1">
      <c r="A136" s="598">
        <f>IFERROR(VLOOKUP(H136,PartyStorage,2, FALSE),0)</f>
        <v>0</v>
      </c>
      <c r="B136" s="653"/>
      <c r="C136" s="609"/>
      <c r="D136" s="652"/>
      <c r="E136" s="608" t="str">
        <f t="shared" si="6"/>
        <v/>
      </c>
      <c r="F136" s="609"/>
      <c r="G136" s="610"/>
      <c r="H136" s="611"/>
      <c r="I136" s="612"/>
      <c r="M136" s="613"/>
      <c r="N136" s="553">
        <f>IFERROR(VLOOKUP(G136,Ch5_Storage,2, FALSE),0)</f>
        <v>0</v>
      </c>
    </row>
    <row r="137" ht="18.75" customHeight="1">
      <c r="A137" s="598">
        <f>IFERROR(VLOOKUP(H137,PartyStorage,2, FALSE),0)</f>
        <v>0</v>
      </c>
      <c r="B137" s="654"/>
      <c r="C137" s="602"/>
      <c r="D137" s="648"/>
      <c r="E137" s="601" t="str">
        <f t="shared" si="6"/>
        <v/>
      </c>
      <c r="F137" s="602"/>
      <c r="G137" s="603"/>
      <c r="H137" s="604"/>
      <c r="I137" s="605"/>
      <c r="M137" s="378"/>
      <c r="N137" s="553">
        <f>IFERROR(VLOOKUP(G137,Ch5_Storage,2, FALSE),0)</f>
        <v>0</v>
      </c>
    </row>
    <row r="138" ht="18.75" customHeight="1">
      <c r="A138" s="598">
        <f>IFERROR(VLOOKUP(H138,PartyStorage,2, FALSE),0)</f>
        <v>0</v>
      </c>
      <c r="B138" s="653"/>
      <c r="C138" s="609"/>
      <c r="D138" s="652"/>
      <c r="E138" s="608" t="str">
        <f t="shared" si="6"/>
        <v/>
      </c>
      <c r="F138" s="609"/>
      <c r="G138" s="610"/>
      <c r="H138" s="611"/>
      <c r="I138" s="612"/>
      <c r="M138" s="613"/>
      <c r="N138" s="553">
        <f>IFERROR(VLOOKUP(G138,Ch5_Storage,2, FALSE),0)</f>
        <v>0</v>
      </c>
    </row>
    <row r="139" ht="18.75" customHeight="1">
      <c r="A139" s="598">
        <f>IFERROR(VLOOKUP(H139,PartyStorage,2, FALSE),0)</f>
        <v>0</v>
      </c>
      <c r="B139" s="654"/>
      <c r="C139" s="602"/>
      <c r="D139" s="648"/>
      <c r="E139" s="601" t="str">
        <f t="shared" si="6"/>
        <v/>
      </c>
      <c r="F139" s="602"/>
      <c r="G139" s="603"/>
      <c r="H139" s="604"/>
      <c r="I139" s="605"/>
      <c r="M139" s="378"/>
      <c r="N139" s="553">
        <f>IFERROR(VLOOKUP(G139,Ch5_Storage,2, FALSE),0)</f>
        <v>0</v>
      </c>
    </row>
    <row r="140" ht="18.75" customHeight="1">
      <c r="A140" s="598">
        <f>IFERROR(VLOOKUP(H140,PartyStorage,2, FALSE),0)</f>
        <v>0</v>
      </c>
      <c r="B140" s="653"/>
      <c r="C140" s="609"/>
      <c r="D140" s="652"/>
      <c r="E140" s="608" t="str">
        <f t="shared" si="6"/>
        <v/>
      </c>
      <c r="F140" s="609"/>
      <c r="G140" s="610"/>
      <c r="H140" s="611"/>
      <c r="I140" s="612"/>
      <c r="M140" s="613"/>
      <c r="N140" s="553">
        <f>IFERROR(VLOOKUP(G140,Ch5_Storage,2, FALSE),0)</f>
        <v>0</v>
      </c>
    </row>
    <row r="141" ht="18.75" customHeight="1">
      <c r="A141" s="598">
        <f>IFERROR(VLOOKUP(H141,PartyStorage,2, FALSE),0)</f>
        <v>0</v>
      </c>
      <c r="B141" s="654"/>
      <c r="C141" s="602"/>
      <c r="D141" s="648"/>
      <c r="E141" s="601" t="str">
        <f t="shared" si="6"/>
        <v/>
      </c>
      <c r="F141" s="602"/>
      <c r="G141" s="603"/>
      <c r="H141" s="604"/>
      <c r="I141" s="605"/>
      <c r="M141" s="378"/>
      <c r="N141" s="553">
        <f>IFERROR(VLOOKUP(G141,Ch5_Storage,2, FALSE),0)</f>
        <v>0</v>
      </c>
    </row>
    <row r="142" ht="18.75" customHeight="1">
      <c r="A142" s="598">
        <f>IFERROR(VLOOKUP(H142,PartyStorage,2, FALSE),0)</f>
        <v>0</v>
      </c>
      <c r="B142" s="653"/>
      <c r="C142" s="609"/>
      <c r="D142" s="652"/>
      <c r="E142" s="608" t="str">
        <f t="shared" si="6"/>
        <v/>
      </c>
      <c r="F142" s="609"/>
      <c r="G142" s="610"/>
      <c r="H142" s="611"/>
      <c r="I142" s="612"/>
      <c r="M142" s="613"/>
      <c r="N142" s="553">
        <f>IFERROR(VLOOKUP(G142,Ch5_Storage,2, FALSE),0)</f>
        <v>0</v>
      </c>
    </row>
    <row r="143" ht="18.75" customHeight="1">
      <c r="A143" s="598">
        <f>IFERROR(VLOOKUP(H143,PartyStorage,2, FALSE),0)</f>
        <v>0</v>
      </c>
      <c r="B143" s="654"/>
      <c r="C143" s="602"/>
      <c r="D143" s="648"/>
      <c r="E143" s="601" t="str">
        <f t="shared" si="6"/>
        <v/>
      </c>
      <c r="F143" s="602"/>
      <c r="G143" s="603"/>
      <c r="H143" s="604"/>
      <c r="I143" s="605"/>
      <c r="M143" s="378"/>
      <c r="N143" s="553">
        <f>IFERROR(VLOOKUP(G143,Ch5_Storage,2, FALSE),0)</f>
        <v>0</v>
      </c>
    </row>
    <row r="144" ht="18.75" customHeight="1">
      <c r="A144" s="598">
        <f>IFERROR(VLOOKUP(H144,PartyStorage,2, FALSE),0)</f>
        <v>0</v>
      </c>
      <c r="B144" s="653"/>
      <c r="C144" s="609"/>
      <c r="D144" s="652"/>
      <c r="E144" s="608" t="str">
        <f t="shared" si="6"/>
        <v/>
      </c>
      <c r="F144" s="609"/>
      <c r="G144" s="610"/>
      <c r="H144" s="611"/>
      <c r="I144" s="612"/>
      <c r="M144" s="613"/>
      <c r="N144" s="553">
        <f>IFERROR(VLOOKUP(G144,Ch5_Storage,2, FALSE),0)</f>
        <v>0</v>
      </c>
    </row>
    <row r="145" ht="18.75" customHeight="1">
      <c r="A145" s="598">
        <f>IFERROR(VLOOKUP(H145,PartyStorage,2, FALSE),0)</f>
        <v>0</v>
      </c>
      <c r="B145" s="654"/>
      <c r="C145" s="602"/>
      <c r="D145" s="648"/>
      <c r="E145" s="601" t="str">
        <f t="shared" si="6"/>
        <v/>
      </c>
      <c r="F145" s="602"/>
      <c r="G145" s="603"/>
      <c r="H145" s="604"/>
      <c r="I145" s="605"/>
      <c r="M145" s="378"/>
      <c r="N145" s="553">
        <f>IFERROR(VLOOKUP(G145,Ch5_Storage,2, FALSE),0)</f>
        <v>0</v>
      </c>
    </row>
    <row r="146" ht="18.75" customHeight="1">
      <c r="A146" s="598">
        <f>IFERROR(VLOOKUP(H146,PartyStorage,2, FALSE),0)</f>
        <v>0</v>
      </c>
      <c r="B146" s="653"/>
      <c r="C146" s="609"/>
      <c r="D146" s="652"/>
      <c r="E146" s="608" t="str">
        <f t="shared" si="6"/>
        <v/>
      </c>
      <c r="F146" s="609"/>
      <c r="G146" s="610"/>
      <c r="H146" s="611"/>
      <c r="I146" s="612"/>
      <c r="M146" s="613"/>
      <c r="N146" s="553">
        <f>IFERROR(VLOOKUP(G146,Ch5_Storage,2, FALSE),0)</f>
        <v>0</v>
      </c>
    </row>
    <row r="147" ht="18.75" customHeight="1">
      <c r="A147" s="598">
        <f>IFERROR(VLOOKUP(H147,PartyStorage,2, FALSE),0)</f>
        <v>0</v>
      </c>
      <c r="B147" s="654"/>
      <c r="C147" s="602"/>
      <c r="D147" s="648"/>
      <c r="E147" s="601" t="str">
        <f t="shared" si="6"/>
        <v/>
      </c>
      <c r="F147" s="602"/>
      <c r="G147" s="603"/>
      <c r="H147" s="604"/>
      <c r="I147" s="605"/>
      <c r="M147" s="378"/>
      <c r="N147" s="553">
        <f>IFERROR(VLOOKUP(G147,Ch5_Storage,2, FALSE),0)</f>
        <v>0</v>
      </c>
    </row>
    <row r="148" ht="18.75" customHeight="1">
      <c r="A148" s="598">
        <f>IFERROR(VLOOKUP(H148,PartyStorage,2, FALSE),0)</f>
        <v>0</v>
      </c>
      <c r="B148" s="653"/>
      <c r="C148" s="609"/>
      <c r="D148" s="652"/>
      <c r="E148" s="608" t="str">
        <f t="shared" si="6"/>
        <v/>
      </c>
      <c r="F148" s="609"/>
      <c r="G148" s="610"/>
      <c r="H148" s="611"/>
      <c r="I148" s="612"/>
      <c r="M148" s="613"/>
      <c r="N148" s="553">
        <f>IFERROR(VLOOKUP(G148,Ch5_Storage,2, FALSE),0)</f>
        <v>0</v>
      </c>
    </row>
    <row r="149" ht="18.75" customHeight="1">
      <c r="A149" s="598">
        <f>IFERROR(VLOOKUP(H149,PartyStorage,2, FALSE),0)</f>
        <v>0</v>
      </c>
      <c r="B149" s="654"/>
      <c r="C149" s="602"/>
      <c r="D149" s="648"/>
      <c r="E149" s="601" t="str">
        <f t="shared" si="6"/>
        <v/>
      </c>
      <c r="F149" s="602"/>
      <c r="G149" s="603"/>
      <c r="H149" s="604"/>
      <c r="I149" s="605"/>
      <c r="M149" s="378"/>
      <c r="N149" s="553">
        <f>IFERROR(VLOOKUP(G149,Ch5_Storage,2, FALSE),0)</f>
        <v>0</v>
      </c>
    </row>
    <row r="150" ht="18.75" customHeight="1">
      <c r="A150" s="598">
        <f>IFERROR(VLOOKUP(H150,PartyStorage,2, FALSE),0)</f>
        <v>0</v>
      </c>
      <c r="B150" s="653"/>
      <c r="C150" s="609"/>
      <c r="D150" s="652"/>
      <c r="E150" s="608" t="str">
        <f t="shared" si="6"/>
        <v/>
      </c>
      <c r="F150" s="609"/>
      <c r="G150" s="610"/>
      <c r="H150" s="611"/>
      <c r="I150" s="612"/>
      <c r="M150" s="613"/>
      <c r="N150" s="553">
        <f>IFERROR(VLOOKUP(G150,Ch5_Storage,2, FALSE),0)</f>
        <v>0</v>
      </c>
    </row>
    <row r="151" ht="18.75" customHeight="1">
      <c r="A151" s="598">
        <f>IFERROR(VLOOKUP(H151,PartyStorage,2, FALSE),0)</f>
        <v>0</v>
      </c>
      <c r="B151" s="654"/>
      <c r="C151" s="602"/>
      <c r="D151" s="648"/>
      <c r="E151" s="601" t="str">
        <f t="shared" si="6"/>
        <v/>
      </c>
      <c r="F151" s="602"/>
      <c r="G151" s="603"/>
      <c r="H151" s="604"/>
      <c r="I151" s="605"/>
      <c r="M151" s="378"/>
      <c r="N151" s="553">
        <f>IFERROR(VLOOKUP(G151,Ch5_Storage,2, FALSE),0)</f>
        <v>0</v>
      </c>
    </row>
    <row r="152" ht="18.75" customHeight="1">
      <c r="A152" s="598">
        <f>IFERROR(VLOOKUP(H152,PartyStorage,2, FALSE),0)</f>
        <v>0</v>
      </c>
      <c r="B152" s="653"/>
      <c r="C152" s="609"/>
      <c r="D152" s="652"/>
      <c r="E152" s="608" t="str">
        <f t="shared" si="6"/>
        <v/>
      </c>
      <c r="F152" s="609"/>
      <c r="G152" s="610"/>
      <c r="H152" s="611"/>
      <c r="I152" s="612"/>
      <c r="M152" s="613"/>
      <c r="N152" s="553">
        <f>IFERROR(VLOOKUP(G152,Ch5_Storage,2, FALSE),0)</f>
        <v>0</v>
      </c>
    </row>
    <row r="153" ht="18.75" customHeight="1">
      <c r="A153" s="598">
        <f>IFERROR(VLOOKUP(H153,PartyStorage,2, FALSE),0)</f>
        <v>0</v>
      </c>
      <c r="B153" s="654"/>
      <c r="C153" s="602"/>
      <c r="D153" s="648"/>
      <c r="E153" s="601" t="str">
        <f t="shared" si="6"/>
        <v/>
      </c>
      <c r="F153" s="602"/>
      <c r="G153" s="603"/>
      <c r="H153" s="604"/>
      <c r="I153" s="605"/>
      <c r="M153" s="378"/>
      <c r="N153" s="553">
        <f>IFERROR(VLOOKUP(G153,Ch5_Storage,2, FALSE),0)</f>
        <v>0</v>
      </c>
    </row>
    <row r="154" ht="18.75" customHeight="1">
      <c r="A154" s="598">
        <f>IFERROR(VLOOKUP(H154,PartyStorage,2, FALSE),0)</f>
        <v>0</v>
      </c>
      <c r="B154" s="653"/>
      <c r="C154" s="609"/>
      <c r="D154" s="652"/>
      <c r="E154" s="608" t="str">
        <f t="shared" si="6"/>
        <v/>
      </c>
      <c r="F154" s="609"/>
      <c r="G154" s="610"/>
      <c r="H154" s="611"/>
      <c r="I154" s="612"/>
      <c r="M154" s="613"/>
      <c r="N154" s="553">
        <f>IFERROR(VLOOKUP(G154,Ch5_Storage,2, FALSE),0)</f>
        <v>0</v>
      </c>
    </row>
    <row r="155" ht="18.75" customHeight="1">
      <c r="A155" s="598">
        <f>IFERROR(VLOOKUP(H155,PartyStorage,2, FALSE),0)</f>
        <v>0</v>
      </c>
      <c r="B155" s="654"/>
      <c r="C155" s="602"/>
      <c r="D155" s="648"/>
      <c r="E155" s="601" t="str">
        <f t="shared" si="6"/>
        <v/>
      </c>
      <c r="F155" s="602"/>
      <c r="G155" s="603"/>
      <c r="H155" s="604"/>
      <c r="I155" s="605"/>
      <c r="M155" s="378"/>
      <c r="N155" s="553">
        <f>IFERROR(VLOOKUP(G155,Ch5_Storage,2, FALSE),0)</f>
        <v>0</v>
      </c>
    </row>
    <row r="156" ht="18.75" customHeight="1">
      <c r="A156" s="598">
        <f>IFERROR(VLOOKUP(H156,PartyStorage,2, FALSE),0)</f>
        <v>0</v>
      </c>
      <c r="B156" s="653"/>
      <c r="C156" s="609"/>
      <c r="D156" s="652"/>
      <c r="E156" s="608" t="str">
        <f t="shared" si="6"/>
        <v/>
      </c>
      <c r="F156" s="609"/>
      <c r="G156" s="610"/>
      <c r="H156" s="611"/>
      <c r="I156" s="612"/>
      <c r="M156" s="613"/>
      <c r="N156" s="553">
        <f>IFERROR(VLOOKUP(G156,Ch5_Storage,2, FALSE),0)</f>
        <v>0</v>
      </c>
    </row>
    <row r="157" ht="18.75" customHeight="1">
      <c r="A157" s="598">
        <f>IFERROR(VLOOKUP(H157,PartyStorage,2, FALSE),0)</f>
        <v>0</v>
      </c>
      <c r="B157" s="654"/>
      <c r="C157" s="602"/>
      <c r="D157" s="648"/>
      <c r="E157" s="601" t="str">
        <f t="shared" si="6"/>
        <v/>
      </c>
      <c r="F157" s="602"/>
      <c r="G157" s="603"/>
      <c r="H157" s="604"/>
      <c r="I157" s="605"/>
      <c r="M157" s="378"/>
      <c r="N157" s="553">
        <f>IFERROR(VLOOKUP(G157,Ch5_Storage,2, FALSE),0)</f>
        <v>0</v>
      </c>
    </row>
    <row r="158" ht="18.75" customHeight="1">
      <c r="A158" s="598">
        <f>IFERROR(VLOOKUP(H158,PartyStorage,2, FALSE),0)</f>
        <v>0</v>
      </c>
      <c r="B158" s="653"/>
      <c r="C158" s="609"/>
      <c r="D158" s="652"/>
      <c r="E158" s="608" t="str">
        <f t="shared" si="6"/>
        <v/>
      </c>
      <c r="F158" s="609"/>
      <c r="G158" s="610"/>
      <c r="H158" s="611"/>
      <c r="I158" s="612"/>
      <c r="M158" s="613"/>
      <c r="N158" s="553">
        <f>IFERROR(VLOOKUP(G158,Ch5_Storage,2, FALSE),0)</f>
        <v>0</v>
      </c>
    </row>
    <row r="159" ht="18.75" customHeight="1">
      <c r="A159" s="598">
        <f>IFERROR(VLOOKUP(H159,PartyStorage,2, FALSE),0)</f>
        <v>0</v>
      </c>
      <c r="B159" s="654"/>
      <c r="C159" s="602"/>
      <c r="D159" s="648"/>
      <c r="E159" s="601" t="str">
        <f t="shared" si="6"/>
        <v/>
      </c>
      <c r="F159" s="602"/>
      <c r="G159" s="603"/>
      <c r="H159" s="604"/>
      <c r="I159" s="605"/>
      <c r="M159" s="378"/>
      <c r="N159" s="553">
        <f>IFERROR(VLOOKUP(G159,Ch5_Storage,2, FALSE),0)</f>
        <v>0</v>
      </c>
    </row>
    <row r="160" ht="18.75" customHeight="1">
      <c r="A160" s="598">
        <f>IFERROR(VLOOKUP(H160,PartyStorage,2, FALSE),0)</f>
        <v>0</v>
      </c>
      <c r="B160" s="653"/>
      <c r="C160" s="609"/>
      <c r="D160" s="652"/>
      <c r="E160" s="608" t="str">
        <f t="shared" si="6"/>
        <v/>
      </c>
      <c r="F160" s="609"/>
      <c r="G160" s="610"/>
      <c r="H160" s="611"/>
      <c r="I160" s="612"/>
      <c r="M160" s="613"/>
      <c r="N160" s="553">
        <f>IFERROR(VLOOKUP(G160,Ch5_Storage,2, FALSE),0)</f>
        <v>0</v>
      </c>
    </row>
    <row r="161" ht="18.75" customHeight="1">
      <c r="A161" s="598">
        <f>IFERROR(VLOOKUP(H161,PartyStorage,2, FALSE),0)</f>
        <v>0</v>
      </c>
      <c r="B161" s="654"/>
      <c r="C161" s="602"/>
      <c r="D161" s="648"/>
      <c r="E161" s="601" t="str">
        <f t="shared" si="6"/>
        <v/>
      </c>
      <c r="F161" s="602"/>
      <c r="G161" s="603"/>
      <c r="H161" s="604"/>
      <c r="I161" s="605"/>
      <c r="M161" s="378"/>
      <c r="N161" s="553">
        <f>IFERROR(VLOOKUP(G161,Ch5_Storage,2, FALSE),0)</f>
        <v>0</v>
      </c>
    </row>
    <row r="162" ht="18.75" customHeight="1">
      <c r="A162" s="598">
        <f>IFERROR(VLOOKUP(H162,PartyStorage,2, FALSE),0)</f>
        <v>0</v>
      </c>
      <c r="B162" s="653"/>
      <c r="C162" s="609"/>
      <c r="D162" s="652"/>
      <c r="E162" s="608" t="str">
        <f t="shared" si="6"/>
        <v/>
      </c>
      <c r="F162" s="609"/>
      <c r="G162" s="610"/>
      <c r="H162" s="611"/>
      <c r="I162" s="612"/>
      <c r="M162" s="613"/>
      <c r="N162" s="553">
        <f>IFERROR(VLOOKUP(G162,Ch5_Storage,2, FALSE),0)</f>
        <v>0</v>
      </c>
    </row>
    <row r="163" ht="18.75" customHeight="1">
      <c r="A163" s="598">
        <f>IFERROR(VLOOKUP(H163,PartyStorage,2, FALSE),0)</f>
        <v>0</v>
      </c>
      <c r="B163" s="654"/>
      <c r="C163" s="602"/>
      <c r="D163" s="648"/>
      <c r="E163" s="601" t="str">
        <f t="shared" si="6"/>
        <v/>
      </c>
      <c r="F163" s="602"/>
      <c r="G163" s="603"/>
      <c r="H163" s="604"/>
      <c r="I163" s="605"/>
      <c r="M163" s="378"/>
      <c r="N163" s="553">
        <f>IFERROR(VLOOKUP(G163,Ch5_Storage,2, FALSE),0)</f>
        <v>0</v>
      </c>
    </row>
    <row r="164" ht="18.75" customHeight="1">
      <c r="A164" s="598">
        <f>IFERROR(VLOOKUP(H164,PartyStorage,2, FALSE),0)</f>
        <v>0</v>
      </c>
      <c r="B164" s="653"/>
      <c r="C164" s="609"/>
      <c r="D164" s="652"/>
      <c r="E164" s="608" t="str">
        <f t="shared" si="6"/>
        <v/>
      </c>
      <c r="F164" s="609"/>
      <c r="G164" s="610"/>
      <c r="H164" s="611"/>
      <c r="I164" s="612"/>
      <c r="M164" s="613"/>
      <c r="N164" s="553">
        <f>IFERROR(VLOOKUP(G164,Ch5_Storage,2, FALSE),0)</f>
        <v>0</v>
      </c>
    </row>
    <row r="165" ht="18.75" customHeight="1">
      <c r="A165" s="598">
        <f>IFERROR(VLOOKUP(H165,PartyStorage,2, FALSE),0)</f>
        <v>0</v>
      </c>
      <c r="B165" s="654"/>
      <c r="C165" s="602"/>
      <c r="D165" s="648"/>
      <c r="E165" s="601" t="str">
        <f t="shared" si="6"/>
        <v/>
      </c>
      <c r="F165" s="602"/>
      <c r="G165" s="603"/>
      <c r="H165" s="604"/>
      <c r="I165" s="605"/>
      <c r="M165" s="378"/>
      <c r="N165" s="553">
        <f>IFERROR(VLOOKUP(G165,Ch5_Storage,2, FALSE),0)</f>
        <v>0</v>
      </c>
    </row>
    <row r="166" ht="18.75" customHeight="1">
      <c r="A166" s="598">
        <f>IFERROR(VLOOKUP(H166,PartyStorage,2, FALSE),0)</f>
        <v>0</v>
      </c>
      <c r="B166" s="653"/>
      <c r="C166" s="609"/>
      <c r="D166" s="652"/>
      <c r="E166" s="608" t="str">
        <f t="shared" si="6"/>
        <v/>
      </c>
      <c r="F166" s="609"/>
      <c r="G166" s="610"/>
      <c r="H166" s="611"/>
      <c r="I166" s="612"/>
      <c r="M166" s="613"/>
      <c r="N166" s="553">
        <f>IFERROR(VLOOKUP(G166,Ch5_Storage,2, FALSE),0)</f>
        <v>0</v>
      </c>
    </row>
    <row r="167" ht="18.75" customHeight="1">
      <c r="A167" s="598">
        <f>IFERROR(VLOOKUP(H167,PartyStorage,2, FALSE),0)</f>
        <v>0</v>
      </c>
      <c r="B167" s="654"/>
      <c r="C167" s="602"/>
      <c r="D167" s="648"/>
      <c r="E167" s="601" t="str">
        <f t="shared" si="6"/>
        <v/>
      </c>
      <c r="F167" s="602"/>
      <c r="G167" s="603"/>
      <c r="H167" s="604"/>
      <c r="I167" s="605"/>
      <c r="M167" s="378"/>
      <c r="N167" s="553">
        <f>IFERROR(VLOOKUP(G167,Ch5_Storage,2, FALSE),0)</f>
        <v>0</v>
      </c>
    </row>
    <row r="168" ht="18.75" customHeight="1">
      <c r="A168" s="598">
        <f>IFERROR(VLOOKUP(H168,PartyStorage,2, FALSE),0)</f>
        <v>0</v>
      </c>
      <c r="B168" s="653"/>
      <c r="C168" s="609"/>
      <c r="D168" s="652"/>
      <c r="E168" s="608" t="str">
        <f t="shared" si="6"/>
        <v/>
      </c>
      <c r="F168" s="609"/>
      <c r="G168" s="610"/>
      <c r="H168" s="611"/>
      <c r="I168" s="612"/>
      <c r="M168" s="613"/>
      <c r="N168" s="553">
        <f>IFERROR(VLOOKUP(G168,Ch5_Storage,2, FALSE),0)</f>
        <v>0</v>
      </c>
    </row>
    <row r="169" ht="18.75" customHeight="1">
      <c r="A169" s="598">
        <f>IFERROR(VLOOKUP(H169,PartyStorage,2, FALSE),0)</f>
        <v>0</v>
      </c>
      <c r="B169" s="654"/>
      <c r="C169" s="602"/>
      <c r="D169" s="648"/>
      <c r="E169" s="601" t="str">
        <f t="shared" si="6"/>
        <v/>
      </c>
      <c r="F169" s="602"/>
      <c r="G169" s="603"/>
      <c r="H169" s="604"/>
      <c r="I169" s="605"/>
      <c r="M169" s="378"/>
      <c r="N169" s="553">
        <f>IFERROR(VLOOKUP(G169,Ch5_Storage,2, FALSE),0)</f>
        <v>0</v>
      </c>
    </row>
    <row r="170" ht="18.75" customHeight="1">
      <c r="A170" s="598">
        <f>IFERROR(VLOOKUP(H170,PartyStorage,2, FALSE),0)</f>
        <v>0</v>
      </c>
      <c r="B170" s="653"/>
      <c r="C170" s="609"/>
      <c r="D170" s="652"/>
      <c r="E170" s="608" t="str">
        <f t="shared" si="6"/>
        <v/>
      </c>
      <c r="F170" s="609"/>
      <c r="G170" s="610"/>
      <c r="H170" s="611"/>
      <c r="I170" s="612"/>
      <c r="M170" s="613"/>
      <c r="N170" s="553">
        <f>IFERROR(VLOOKUP(G170,Ch5_Storage,2, FALSE),0)</f>
        <v>0</v>
      </c>
    </row>
    <row r="171" ht="18.75" customHeight="1">
      <c r="A171" s="598">
        <f>IFERROR(VLOOKUP(H171,PartyStorage,2, FALSE),0)</f>
        <v>0</v>
      </c>
      <c r="B171" s="654"/>
      <c r="C171" s="602"/>
      <c r="D171" s="648"/>
      <c r="E171" s="601" t="str">
        <f t="shared" si="6"/>
        <v/>
      </c>
      <c r="F171" s="602"/>
      <c r="G171" s="603"/>
      <c r="H171" s="604"/>
      <c r="I171" s="605"/>
      <c r="M171" s="378"/>
      <c r="N171" s="553">
        <f>IFERROR(VLOOKUP(G171,Ch5_Storage,2, FALSE),0)</f>
        <v>0</v>
      </c>
    </row>
    <row r="172" ht="18.75" customHeight="1">
      <c r="A172" s="598">
        <f>IFERROR(VLOOKUP(H172,PartyStorage,2, FALSE),0)</f>
        <v>0</v>
      </c>
      <c r="B172" s="653"/>
      <c r="C172" s="609"/>
      <c r="D172" s="652"/>
      <c r="E172" s="608" t="str">
        <f t="shared" si="6"/>
        <v/>
      </c>
      <c r="F172" s="609"/>
      <c r="G172" s="610"/>
      <c r="H172" s="611"/>
      <c r="I172" s="612"/>
      <c r="M172" s="613"/>
      <c r="N172" s="553">
        <f>IFERROR(VLOOKUP(G172,Ch5_Storage,2, FALSE),0)</f>
        <v>0</v>
      </c>
    </row>
    <row r="173" ht="18.75" customHeight="1">
      <c r="A173" s="598">
        <f>IFERROR(VLOOKUP(H173,PartyStorage,2, FALSE),0)</f>
        <v>0</v>
      </c>
      <c r="B173" s="654"/>
      <c r="C173" s="602"/>
      <c r="D173" s="648"/>
      <c r="E173" s="601" t="str">
        <f t="shared" si="6"/>
        <v/>
      </c>
      <c r="F173" s="602"/>
      <c r="G173" s="603"/>
      <c r="H173" s="604"/>
      <c r="I173" s="605"/>
      <c r="M173" s="378"/>
      <c r="N173" s="553">
        <f>IFERROR(VLOOKUP(G173,Ch5_Storage,2, FALSE),0)</f>
        <v>0</v>
      </c>
    </row>
    <row r="174" ht="18.75" customHeight="1">
      <c r="A174" s="598">
        <f>IFERROR(VLOOKUP(H174,PartyStorage,2, FALSE),0)</f>
        <v>0</v>
      </c>
      <c r="B174" s="653"/>
      <c r="C174" s="609"/>
      <c r="D174" s="652"/>
      <c r="E174" s="608" t="str">
        <f t="shared" si="6"/>
        <v/>
      </c>
      <c r="F174" s="609"/>
      <c r="G174" s="610"/>
      <c r="H174" s="611"/>
      <c r="I174" s="612"/>
      <c r="M174" s="613"/>
      <c r="N174" s="553">
        <f>IFERROR(VLOOKUP(G174,Ch5_Storage,2, FALSE),0)</f>
        <v>0</v>
      </c>
    </row>
    <row r="175" ht="18.75" customHeight="1">
      <c r="A175" s="598">
        <f>IFERROR(VLOOKUP(H175,PartyStorage,2, FALSE),0)</f>
        <v>0</v>
      </c>
      <c r="B175" s="654"/>
      <c r="C175" s="602"/>
      <c r="D175" s="648"/>
      <c r="E175" s="601" t="str">
        <f t="shared" si="6"/>
        <v/>
      </c>
      <c r="F175" s="602"/>
      <c r="G175" s="603"/>
      <c r="H175" s="604"/>
      <c r="I175" s="605"/>
      <c r="M175" s="378"/>
      <c r="N175" s="553">
        <f>IFERROR(VLOOKUP(G175,Ch5_Storage,2, FALSE),0)</f>
        <v>0</v>
      </c>
    </row>
    <row r="176" ht="18.75" customHeight="1">
      <c r="A176" s="598">
        <f>IFERROR(VLOOKUP(H176,PartyStorage,2, FALSE),0)</f>
        <v>0</v>
      </c>
      <c r="B176" s="653"/>
      <c r="C176" s="609"/>
      <c r="D176" s="652"/>
      <c r="E176" s="608" t="str">
        <f t="shared" si="6"/>
        <v/>
      </c>
      <c r="F176" s="609"/>
      <c r="G176" s="610"/>
      <c r="H176" s="611"/>
      <c r="I176" s="612"/>
      <c r="M176" s="613"/>
      <c r="N176" s="553">
        <f>IFERROR(VLOOKUP(G176,Ch5_Storage,2, FALSE),0)</f>
        <v>0</v>
      </c>
    </row>
    <row r="177" ht="18.75" customHeight="1">
      <c r="A177" s="598">
        <f>IFERROR(VLOOKUP(H177,PartyStorage,2, FALSE),0)</f>
        <v>0</v>
      </c>
      <c r="B177" s="654"/>
      <c r="C177" s="602"/>
      <c r="D177" s="648"/>
      <c r="E177" s="601" t="str">
        <f t="shared" si="6"/>
        <v/>
      </c>
      <c r="F177" s="602"/>
      <c r="G177" s="603"/>
      <c r="H177" s="604"/>
      <c r="I177" s="605"/>
      <c r="M177" s="378"/>
      <c r="N177" s="553">
        <f>IFERROR(VLOOKUP(G177,Ch5_Storage,2, FALSE),0)</f>
        <v>0</v>
      </c>
    </row>
    <row r="178" ht="18.75" customHeight="1">
      <c r="A178" s="598">
        <f>IFERROR(VLOOKUP(H178,PartyStorage,2, FALSE),0)</f>
        <v>0</v>
      </c>
      <c r="B178" s="653"/>
      <c r="C178" s="609"/>
      <c r="D178" s="652"/>
      <c r="E178" s="608" t="str">
        <f t="shared" si="6"/>
        <v/>
      </c>
      <c r="F178" s="609"/>
      <c r="G178" s="610"/>
      <c r="H178" s="611"/>
      <c r="I178" s="612"/>
      <c r="M178" s="613"/>
      <c r="N178" s="553">
        <f>IFERROR(VLOOKUP(G178,Ch5_Storage,2, FALSE),0)</f>
        <v>0</v>
      </c>
    </row>
    <row r="179" ht="18.75" customHeight="1">
      <c r="A179" s="598">
        <f>IFERROR(VLOOKUP(H179,PartyStorage,2, FALSE),0)</f>
        <v>0</v>
      </c>
      <c r="B179" s="654"/>
      <c r="C179" s="602"/>
      <c r="D179" s="648"/>
      <c r="E179" s="601" t="str">
        <f t="shared" si="6"/>
        <v/>
      </c>
      <c r="F179" s="602"/>
      <c r="G179" s="603"/>
      <c r="H179" s="604"/>
      <c r="I179" s="605"/>
      <c r="M179" s="378"/>
      <c r="N179" s="553">
        <f>IFERROR(VLOOKUP(G179,Ch5_Storage,2, FALSE),0)</f>
        <v>0</v>
      </c>
    </row>
    <row r="180" ht="18.75" customHeight="1">
      <c r="A180" s="598">
        <f>IFERROR(VLOOKUP(H180,PartyStorage,2, FALSE),0)</f>
        <v>0</v>
      </c>
      <c r="B180" s="653"/>
      <c r="C180" s="609"/>
      <c r="D180" s="652"/>
      <c r="E180" s="608" t="str">
        <f t="shared" si="6"/>
        <v/>
      </c>
      <c r="F180" s="609"/>
      <c r="G180" s="610"/>
      <c r="H180" s="611"/>
      <c r="I180" s="612"/>
      <c r="M180" s="613"/>
      <c r="N180" s="553">
        <f>IFERROR(VLOOKUP(G180,Ch5_Storage,2, FALSE),0)</f>
        <v>0</v>
      </c>
    </row>
    <row r="181" ht="18.75" customHeight="1">
      <c r="A181" s="598">
        <f>IFERROR(VLOOKUP(H181,PartyStorage,2, FALSE),0)</f>
        <v>0</v>
      </c>
      <c r="B181" s="654"/>
      <c r="C181" s="602"/>
      <c r="D181" s="648"/>
      <c r="E181" s="601" t="str">
        <f t="shared" si="6"/>
        <v/>
      </c>
      <c r="F181" s="602"/>
      <c r="G181" s="603"/>
      <c r="H181" s="604"/>
      <c r="I181" s="605"/>
      <c r="M181" s="378"/>
      <c r="N181" s="553">
        <f>IFERROR(VLOOKUP(G181,Ch5_Storage,2, FALSE),0)</f>
        <v>0</v>
      </c>
    </row>
    <row r="182" ht="18.75" customHeight="1">
      <c r="A182" s="598">
        <f>IFERROR(VLOOKUP(H182,PartyStorage,2, FALSE),0)</f>
        <v>0</v>
      </c>
      <c r="B182" s="653"/>
      <c r="C182" s="609"/>
      <c r="D182" s="652"/>
      <c r="E182" s="608" t="str">
        <f t="shared" si="6"/>
        <v/>
      </c>
      <c r="F182" s="609"/>
      <c r="G182" s="610"/>
      <c r="H182" s="611"/>
      <c r="I182" s="612"/>
      <c r="M182" s="613"/>
      <c r="N182" s="553">
        <f>IFERROR(VLOOKUP(G182,Ch5_Storage,2, FALSE),0)</f>
        <v>0</v>
      </c>
    </row>
    <row r="183" ht="18.75" customHeight="1">
      <c r="A183" s="598">
        <f>IFERROR(VLOOKUP(H183,PartyStorage,2, FALSE),0)</f>
        <v>0</v>
      </c>
      <c r="B183" s="654"/>
      <c r="C183" s="602"/>
      <c r="D183" s="648"/>
      <c r="E183" s="601" t="str">
        <f t="shared" si="6"/>
        <v/>
      </c>
      <c r="F183" s="602"/>
      <c r="G183" s="603"/>
      <c r="H183" s="604"/>
      <c r="I183" s="605"/>
      <c r="M183" s="378"/>
      <c r="N183" s="553">
        <f>IFERROR(VLOOKUP(G183,Ch5_Storage,2, FALSE),0)</f>
        <v>0</v>
      </c>
    </row>
    <row r="184" ht="18.75" customHeight="1">
      <c r="A184" s="598">
        <f>IFERROR(VLOOKUP(H184,PartyStorage,2, FALSE),0)</f>
        <v>0</v>
      </c>
      <c r="B184" s="653"/>
      <c r="C184" s="609"/>
      <c r="D184" s="652"/>
      <c r="E184" s="608" t="str">
        <f t="shared" si="6"/>
        <v/>
      </c>
      <c r="F184" s="609"/>
      <c r="G184" s="610"/>
      <c r="H184" s="611"/>
      <c r="I184" s="612"/>
      <c r="M184" s="613"/>
      <c r="N184" s="553">
        <f>IFERROR(VLOOKUP(G184,Ch5_Storage,2, FALSE),0)</f>
        <v>0</v>
      </c>
    </row>
    <row r="185" ht="18.75" customHeight="1">
      <c r="A185" s="598">
        <f>IFERROR(VLOOKUP(H185,PartyStorage,2, FALSE),0)</f>
        <v>0</v>
      </c>
      <c r="B185" s="654"/>
      <c r="C185" s="602"/>
      <c r="D185" s="648"/>
      <c r="E185" s="601" t="str">
        <f t="shared" si="6"/>
        <v/>
      </c>
      <c r="F185" s="602"/>
      <c r="G185" s="603"/>
      <c r="H185" s="604"/>
      <c r="I185" s="605"/>
      <c r="M185" s="378"/>
      <c r="N185" s="553">
        <f>IFERROR(VLOOKUP(G185,Ch5_Storage,2, FALSE),0)</f>
        <v>0</v>
      </c>
    </row>
    <row r="186" ht="18.75" customHeight="1">
      <c r="A186" s="598">
        <f>IFERROR(VLOOKUP(H186,PartyStorage,2, FALSE),0)</f>
        <v>0</v>
      </c>
      <c r="B186" s="653"/>
      <c r="C186" s="609"/>
      <c r="D186" s="652"/>
      <c r="E186" s="608" t="str">
        <f t="shared" si="6"/>
        <v/>
      </c>
      <c r="F186" s="609"/>
      <c r="G186" s="610"/>
      <c r="H186" s="611"/>
      <c r="I186" s="612"/>
      <c r="M186" s="613"/>
      <c r="N186" s="553">
        <f>IFERROR(VLOOKUP(G186,Ch5_Storage,2, FALSE),0)</f>
        <v>0</v>
      </c>
    </row>
    <row r="187" ht="18.75" customHeight="1">
      <c r="A187" s="598">
        <f>IFERROR(VLOOKUP(H187,PartyStorage,2, FALSE),0)</f>
        <v>0</v>
      </c>
      <c r="B187" s="654"/>
      <c r="C187" s="602"/>
      <c r="D187" s="648"/>
      <c r="E187" s="601" t="str">
        <f t="shared" si="6"/>
        <v/>
      </c>
      <c r="F187" s="602"/>
      <c r="G187" s="603"/>
      <c r="H187" s="604"/>
      <c r="I187" s="605"/>
      <c r="M187" s="378"/>
      <c r="N187" s="553">
        <f>IFERROR(VLOOKUP(G187,Ch5_Storage,2, FALSE),0)</f>
        <v>0</v>
      </c>
    </row>
    <row r="188" ht="18.75" customHeight="1">
      <c r="A188" s="598">
        <f>IFERROR(VLOOKUP(H188,PartyStorage,2, FALSE),0)</f>
        <v>0</v>
      </c>
      <c r="B188" s="653"/>
      <c r="C188" s="609"/>
      <c r="D188" s="652"/>
      <c r="E188" s="608" t="str">
        <f t="shared" si="6"/>
        <v/>
      </c>
      <c r="F188" s="609"/>
      <c r="G188" s="610"/>
      <c r="H188" s="611"/>
      <c r="I188" s="612"/>
      <c r="M188" s="613"/>
      <c r="N188" s="553">
        <f>IFERROR(VLOOKUP(G188,Ch5_Storage,2, FALSE),0)</f>
        <v>0</v>
      </c>
    </row>
    <row r="189" ht="18.75" customHeight="1">
      <c r="A189" s="598">
        <f>IFERROR(VLOOKUP(H189,PartyStorage,2, FALSE),0)</f>
        <v>0</v>
      </c>
      <c r="B189" s="654"/>
      <c r="C189" s="602"/>
      <c r="D189" s="648"/>
      <c r="E189" s="601" t="str">
        <f t="shared" si="6"/>
        <v/>
      </c>
      <c r="F189" s="602"/>
      <c r="G189" s="603"/>
      <c r="H189" s="604"/>
      <c r="I189" s="605"/>
      <c r="M189" s="378"/>
      <c r="N189" s="553">
        <f>IFERROR(VLOOKUP(G189,Ch5_Storage,2, FALSE),0)</f>
        <v>0</v>
      </c>
    </row>
    <row r="190" ht="18.75" customHeight="1">
      <c r="A190" s="598">
        <f>IFERROR(VLOOKUP(H190,PartyStorage,2, FALSE),0)</f>
        <v>0</v>
      </c>
      <c r="B190" s="653"/>
      <c r="C190" s="609"/>
      <c r="D190" s="652"/>
      <c r="E190" s="608" t="str">
        <f t="shared" si="6"/>
        <v/>
      </c>
      <c r="F190" s="609"/>
      <c r="G190" s="610"/>
      <c r="H190" s="611"/>
      <c r="I190" s="612"/>
      <c r="M190" s="613"/>
      <c r="N190" s="553">
        <f>IFERROR(VLOOKUP(G190,Ch5_Storage,2, FALSE),0)</f>
        <v>0</v>
      </c>
    </row>
    <row r="191" ht="18.75" customHeight="1">
      <c r="A191" s="598">
        <f>IFERROR(VLOOKUP(H191,PartyStorage,2, FALSE),0)</f>
        <v>0</v>
      </c>
      <c r="B191" s="654"/>
      <c r="C191" s="602"/>
      <c r="D191" s="648"/>
      <c r="E191" s="601" t="str">
        <f t="shared" si="6"/>
        <v/>
      </c>
      <c r="F191" s="602"/>
      <c r="G191" s="603"/>
      <c r="H191" s="604"/>
      <c r="I191" s="605"/>
      <c r="M191" s="378"/>
      <c r="N191" s="553">
        <f>IFERROR(VLOOKUP(G191,Ch5_Storage,2, FALSE),0)</f>
        <v>0</v>
      </c>
    </row>
    <row r="192" ht="18.75" customHeight="1">
      <c r="A192" s="598">
        <f>IFERROR(VLOOKUP(H192,PartyStorage,2, FALSE),0)</f>
        <v>0</v>
      </c>
      <c r="B192" s="653"/>
      <c r="C192" s="609"/>
      <c r="D192" s="652"/>
      <c r="E192" s="608" t="str">
        <f t="shared" si="6"/>
        <v/>
      </c>
      <c r="F192" s="609"/>
      <c r="G192" s="610"/>
      <c r="H192" s="611"/>
      <c r="I192" s="612"/>
      <c r="M192" s="613"/>
      <c r="N192" s="553">
        <f>IFERROR(VLOOKUP(G192,Ch5_Storage,2, FALSE),0)</f>
        <v>0</v>
      </c>
    </row>
    <row r="193" ht="18.75" customHeight="1">
      <c r="A193" s="598">
        <f>IFERROR(VLOOKUP(H193,PartyStorage,2, FALSE),0)</f>
        <v>0</v>
      </c>
      <c r="B193" s="654"/>
      <c r="C193" s="602"/>
      <c r="D193" s="648"/>
      <c r="E193" s="601" t="str">
        <f t="shared" si="6"/>
        <v/>
      </c>
      <c r="F193" s="602"/>
      <c r="G193" s="603"/>
      <c r="H193" s="604"/>
      <c r="I193" s="605"/>
      <c r="M193" s="378"/>
      <c r="N193" s="553">
        <f>IFERROR(VLOOKUP(G193,Ch5_Storage,2, FALSE),0)</f>
        <v>0</v>
      </c>
    </row>
    <row r="194" ht="18.75" customHeight="1">
      <c r="A194" s="598">
        <f>IFERROR(VLOOKUP(H194,PartyStorage,2, FALSE),0)</f>
        <v>0</v>
      </c>
      <c r="B194" s="653"/>
      <c r="C194" s="609"/>
      <c r="D194" s="652"/>
      <c r="E194" s="608" t="str">
        <f t="shared" si="6"/>
        <v/>
      </c>
      <c r="F194" s="609"/>
      <c r="G194" s="610"/>
      <c r="H194" s="611"/>
      <c r="I194" s="612"/>
      <c r="M194" s="613"/>
      <c r="N194" s="553">
        <f>IFERROR(VLOOKUP(G194,Ch5_Storage,2, FALSE),0)</f>
        <v>0</v>
      </c>
    </row>
    <row r="195" ht="18.75" customHeight="1">
      <c r="A195" s="598">
        <f>IFERROR(VLOOKUP(H195,PartyStorage,2, FALSE),0)</f>
        <v>0</v>
      </c>
      <c r="B195" s="654"/>
      <c r="C195" s="602"/>
      <c r="D195" s="648"/>
      <c r="E195" s="601" t="str">
        <f t="shared" si="6"/>
        <v/>
      </c>
      <c r="F195" s="602"/>
      <c r="G195" s="603"/>
      <c r="H195" s="604"/>
      <c r="I195" s="605"/>
      <c r="M195" s="378"/>
      <c r="N195" s="553">
        <f>IFERROR(VLOOKUP(G195,Ch5_Storage,2, FALSE),0)</f>
        <v>0</v>
      </c>
    </row>
    <row r="196" ht="18.75" customHeight="1">
      <c r="A196" s="598">
        <f>IFERROR(VLOOKUP(H196,PartyStorage,2, FALSE),0)</f>
        <v>0</v>
      </c>
      <c r="B196" s="653"/>
      <c r="C196" s="609"/>
      <c r="D196" s="652"/>
      <c r="E196" s="608" t="str">
        <f t="shared" si="6"/>
        <v/>
      </c>
      <c r="F196" s="609"/>
      <c r="G196" s="610"/>
      <c r="H196" s="611"/>
      <c r="I196" s="612"/>
      <c r="M196" s="613"/>
      <c r="N196" s="553">
        <f>IFERROR(VLOOKUP(G196,Ch5_Storage,2, FALSE),0)</f>
        <v>0</v>
      </c>
    </row>
    <row r="197" ht="18.75" customHeight="1">
      <c r="A197" s="598">
        <f>IFERROR(VLOOKUP(H197,PartyStorage,2, FALSE),0)</f>
        <v>0</v>
      </c>
      <c r="B197" s="654"/>
      <c r="C197" s="602"/>
      <c r="D197" s="648"/>
      <c r="E197" s="601" t="str">
        <f t="shared" si="6"/>
        <v/>
      </c>
      <c r="F197" s="602"/>
      <c r="G197" s="603"/>
      <c r="H197" s="604"/>
      <c r="I197" s="605"/>
      <c r="M197" s="378"/>
      <c r="N197" s="553">
        <f>IFERROR(VLOOKUP(G197,Ch5_Storage,2, FALSE),0)</f>
        <v>0</v>
      </c>
    </row>
    <row r="198" ht="18.75" customHeight="1">
      <c r="A198" s="598">
        <f>IFERROR(VLOOKUP(H198,PartyStorage,2, FALSE),0)</f>
        <v>0</v>
      </c>
      <c r="B198" s="653"/>
      <c r="C198" s="609"/>
      <c r="D198" s="652"/>
      <c r="E198" s="608" t="str">
        <f t="shared" si="6"/>
        <v/>
      </c>
      <c r="F198" s="609"/>
      <c r="G198" s="610"/>
      <c r="H198" s="611"/>
      <c r="I198" s="612"/>
      <c r="M198" s="613"/>
      <c r="N198" s="553">
        <f>IFERROR(VLOOKUP(G198,Ch5_Storage,2, FALSE),0)</f>
        <v>0</v>
      </c>
    </row>
    <row r="199" ht="18.75" customHeight="1">
      <c r="A199" s="598">
        <f>IFERROR(VLOOKUP(H199,PartyStorage,2, FALSE),0)</f>
        <v>0</v>
      </c>
      <c r="B199" s="654"/>
      <c r="C199" s="602"/>
      <c r="D199" s="648"/>
      <c r="E199" s="601" t="str">
        <f t="shared" si="6"/>
        <v/>
      </c>
      <c r="F199" s="602"/>
      <c r="G199" s="603"/>
      <c r="H199" s="604"/>
      <c r="I199" s="605"/>
      <c r="M199" s="378"/>
      <c r="N199" s="553">
        <f>IFERROR(VLOOKUP(G199,Ch5_Storage,2, FALSE),0)</f>
        <v>0</v>
      </c>
    </row>
    <row r="200" ht="18.75" customHeight="1">
      <c r="A200" s="598">
        <f>IFERROR(VLOOKUP(H200,PartyStorage,2, FALSE),0)</f>
        <v>0</v>
      </c>
      <c r="B200" s="653"/>
      <c r="C200" s="609"/>
      <c r="D200" s="652"/>
      <c r="E200" s="608" t="str">
        <f t="shared" si="6"/>
        <v/>
      </c>
      <c r="F200" s="609"/>
      <c r="G200" s="610"/>
      <c r="H200" s="611"/>
      <c r="I200" s="612"/>
      <c r="M200" s="613"/>
      <c r="N200" s="553">
        <f>IFERROR(VLOOKUP(G200,Ch5_Storage,2, FALSE),0)</f>
        <v>0</v>
      </c>
    </row>
    <row r="201" ht="18.75" customHeight="1">
      <c r="A201" s="598">
        <f>IFERROR(VLOOKUP(H201,PartyStorage,2, FALSE),0)</f>
        <v>0</v>
      </c>
      <c r="B201" s="654"/>
      <c r="C201" s="602"/>
      <c r="D201" s="648"/>
      <c r="E201" s="601" t="str">
        <f t="shared" si="6"/>
        <v/>
      </c>
      <c r="F201" s="602"/>
      <c r="G201" s="603"/>
      <c r="H201" s="604"/>
      <c r="I201" s="605"/>
      <c r="M201" s="378"/>
      <c r="N201" s="553">
        <f>IFERROR(VLOOKUP(G201,Ch5_Storage,2, FALSE),0)</f>
        <v>0</v>
      </c>
    </row>
    <row r="202" ht="18.75" customHeight="1">
      <c r="A202" s="598">
        <f>IFERROR(VLOOKUP(H202,PartyStorage,2, FALSE),0)</f>
        <v>0</v>
      </c>
      <c r="B202" s="653"/>
      <c r="C202" s="609"/>
      <c r="D202" s="652"/>
      <c r="E202" s="608" t="str">
        <f t="shared" si="6"/>
        <v/>
      </c>
      <c r="F202" s="609"/>
      <c r="G202" s="610"/>
      <c r="H202" s="611"/>
      <c r="I202" s="612"/>
      <c r="M202" s="613"/>
      <c r="N202" s="553">
        <f>IFERROR(VLOOKUP(G202,Ch5_Storage,2, FALSE),0)</f>
        <v>0</v>
      </c>
    </row>
    <row r="203" ht="18.75" customHeight="1">
      <c r="A203" s="598">
        <f>IFERROR(VLOOKUP(H203,PartyStorage,2, FALSE),0)</f>
        <v>0</v>
      </c>
      <c r="B203" s="654"/>
      <c r="C203" s="602"/>
      <c r="D203" s="648"/>
      <c r="E203" s="601" t="str">
        <f t="shared" si="6"/>
        <v/>
      </c>
      <c r="F203" s="602"/>
      <c r="G203" s="603"/>
      <c r="H203" s="604"/>
      <c r="I203" s="605"/>
      <c r="M203" s="378"/>
      <c r="N203" s="553">
        <f>IFERROR(VLOOKUP(G203,Ch5_Storage,2, FALSE),0)</f>
        <v>0</v>
      </c>
    </row>
    <row r="204" ht="18.75" customHeight="1">
      <c r="A204" s="598">
        <f>IFERROR(VLOOKUP(H204,PartyStorage,2, FALSE),0)</f>
        <v>0</v>
      </c>
      <c r="B204" s="653"/>
      <c r="C204" s="609"/>
      <c r="D204" s="652"/>
      <c r="E204" s="608" t="str">
        <f t="shared" si="6"/>
        <v/>
      </c>
      <c r="F204" s="609"/>
      <c r="G204" s="610"/>
      <c r="H204" s="611"/>
      <c r="I204" s="612"/>
      <c r="M204" s="613"/>
      <c r="N204" s="553">
        <f>IFERROR(VLOOKUP(G204,Ch5_Storage,2, FALSE),0)</f>
        <v>0</v>
      </c>
    </row>
    <row r="205" ht="18.75" customHeight="1">
      <c r="A205" s="598">
        <f>IFERROR(VLOOKUP(H205,PartyStorage,2, FALSE),0)</f>
        <v>0</v>
      </c>
      <c r="B205" s="654"/>
      <c r="C205" s="602"/>
      <c r="D205" s="648"/>
      <c r="E205" s="601" t="str">
        <f t="shared" si="6"/>
        <v/>
      </c>
      <c r="F205" s="602"/>
      <c r="G205" s="603"/>
      <c r="H205" s="604"/>
      <c r="I205" s="605"/>
      <c r="M205" s="378"/>
      <c r="N205" s="553">
        <f>IFERROR(VLOOKUP(G205,Ch5_Storage,2, FALSE),0)</f>
        <v>0</v>
      </c>
    </row>
    <row r="206" ht="18.75" customHeight="1">
      <c r="A206" s="598">
        <f>IFERROR(VLOOKUP(H206,PartyStorage,2, FALSE),0)</f>
        <v>0</v>
      </c>
      <c r="B206" s="653"/>
      <c r="C206" s="609"/>
      <c r="D206" s="652"/>
      <c r="E206" s="608" t="str">
        <f t="shared" si="6"/>
        <v/>
      </c>
      <c r="F206" s="609"/>
      <c r="G206" s="610"/>
      <c r="H206" s="611"/>
      <c r="I206" s="612"/>
      <c r="M206" s="613"/>
      <c r="N206" s="553">
        <f>IFERROR(VLOOKUP(G206,Ch5_Storage,2, FALSE),0)</f>
        <v>0</v>
      </c>
    </row>
    <row r="207" ht="18.75" customHeight="1">
      <c r="A207" s="598">
        <f>IFERROR(VLOOKUP(H207,PartyStorage,2, FALSE),0)</f>
        <v>0</v>
      </c>
      <c r="B207" s="654"/>
      <c r="C207" s="602"/>
      <c r="D207" s="648"/>
      <c r="E207" s="601" t="str">
        <f t="shared" si="6"/>
        <v/>
      </c>
      <c r="F207" s="602"/>
      <c r="G207" s="603"/>
      <c r="H207" s="604"/>
      <c r="I207" s="605"/>
      <c r="M207" s="378"/>
      <c r="N207" s="553">
        <f>IFERROR(VLOOKUP(G207,Ch5_Storage,2, FALSE),0)</f>
        <v>0</v>
      </c>
    </row>
    <row r="208" ht="18.75" customHeight="1">
      <c r="A208" s="598">
        <f>IFERROR(VLOOKUP(H208,PartyStorage,2, FALSE),0)</f>
        <v>0</v>
      </c>
      <c r="B208" s="655"/>
      <c r="C208" s="656"/>
      <c r="D208" s="657"/>
      <c r="E208" s="658" t="str">
        <f t="shared" si="6"/>
        <v/>
      </c>
      <c r="F208" s="656"/>
      <c r="G208" s="659"/>
      <c r="H208" s="660"/>
      <c r="I208" s="661"/>
      <c r="J208" s="662"/>
      <c r="K208" s="662"/>
      <c r="L208" s="662"/>
      <c r="M208" s="663"/>
      <c r="N208" s="553">
        <f>IFERROR(VLOOKUP(G208,Ch5_Storage,2, FALSE),0)</f>
        <v>0</v>
      </c>
    </row>
    <row r="209" ht="7.5" customHeight="1">
      <c r="A209" s="380"/>
      <c r="B209" s="261"/>
      <c r="C209" s="261"/>
      <c r="D209" s="261"/>
      <c r="E209" s="261"/>
      <c r="F209" s="261"/>
      <c r="G209" s="261"/>
      <c r="H209" s="261"/>
      <c r="I209" s="261"/>
      <c r="J209" s="261"/>
      <c r="K209" s="261"/>
      <c r="L209" s="261"/>
      <c r="M209" s="261"/>
      <c r="N209" s="553"/>
    </row>
  </sheetData>
  <mergeCells count="198">
    <mergeCell ref="B3:C3"/>
    <mergeCell ref="B4:C4"/>
    <mergeCell ref="B2:C2"/>
    <mergeCell ref="B5:C5"/>
    <mergeCell ref="B6:C6"/>
    <mergeCell ref="B7:C7"/>
    <mergeCell ref="E1:F1"/>
    <mergeCell ref="I1:J1"/>
    <mergeCell ref="E2:F7"/>
    <mergeCell ref="I2:J7"/>
    <mergeCell ref="K2:M2"/>
    <mergeCell ref="K3:L3"/>
    <mergeCell ref="K4:L4"/>
    <mergeCell ref="K7:L7"/>
    <mergeCell ref="K5:L5"/>
    <mergeCell ref="K6:L6"/>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44:M144"/>
    <mergeCell ref="I145:M145"/>
    <mergeCell ref="I146:M146"/>
    <mergeCell ref="I147:M147"/>
    <mergeCell ref="I148:M148"/>
    <mergeCell ref="I149:M149"/>
    <mergeCell ref="I150:M150"/>
    <mergeCell ref="I207:M207"/>
    <mergeCell ref="I208:M208"/>
    <mergeCell ref="I200:M200"/>
    <mergeCell ref="I201:M201"/>
    <mergeCell ref="I202:M202"/>
    <mergeCell ref="I203:M203"/>
    <mergeCell ref="I204:M204"/>
    <mergeCell ref="I205:M205"/>
    <mergeCell ref="I206:M206"/>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 ref="I193:M193"/>
    <mergeCell ref="I194:M194"/>
    <mergeCell ref="I195:M195"/>
    <mergeCell ref="I196:M196"/>
    <mergeCell ref="I197:M197"/>
    <mergeCell ref="I198:M198"/>
    <mergeCell ref="I199:M199"/>
  </mergeCells>
  <conditionalFormatting sqref="G87">
    <cfRule type="expression" dxfId="0" priority="1">
      <formula>AND(AND(NOT(ISBLANK(C87)), ISBLANK(G87)), ISBLANK(H87))</formula>
    </cfRule>
  </conditionalFormatting>
  <conditionalFormatting sqref="G27:G208">
    <cfRule type="expression" dxfId="0" priority="2">
      <formula>AND(AND(NOT(ISBLANK(C27)), ISBLANK(G27)), ISBLANK(H27))</formula>
    </cfRule>
  </conditionalFormatting>
  <conditionalFormatting sqref="K2:M2">
    <cfRule type="expression" dxfId="9" priority="3">
      <formula>IF($N$2="",true,false)</formula>
    </cfRule>
  </conditionalFormatting>
  <conditionalFormatting sqref="K3:M7">
    <cfRule type="expression" dxfId="10" priority="4">
      <formula>IF($N$2="",true,false)</formula>
    </cfRule>
  </conditionalFormatting>
  <conditionalFormatting sqref="B3:C5 K3:L5">
    <cfRule type="expression" dxfId="24" priority="5">
      <formula>IF( AND( LT( D$7, D4 ), GTE( D$7, D3) ), true, false )</formula>
    </cfRule>
  </conditionalFormatting>
  <conditionalFormatting sqref="B6:C6 K6:L6">
    <cfRule type="expression" dxfId="24" priority="6">
      <formula>IF( GT( D$7, D$6 ), true, false )</formula>
    </cfRule>
  </conditionalFormatting>
  <dataValidations>
    <dataValidation type="list" allowBlank="1" showInputMessage="1" showErrorMessage="1" prompt="Every item must have a PC or party storage location" sqref="G27:G208">
      <formula1>'Character Info'!$P$19:$P$28</formula1>
    </dataValidation>
    <dataValidation type="list" allowBlank="1" showErrorMessage="1" sqref="H27:H208">
      <formula1>PartyStorage</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Ch2_Name</f>
        <v/>
      </c>
      <c r="B1" s="437"/>
      <c r="C1" s="438"/>
      <c r="D1" s="438"/>
      <c r="E1" s="248" t="s">
        <v>62</v>
      </c>
      <c r="F1" s="438"/>
      <c r="G1" s="439"/>
      <c r="H1" s="439"/>
      <c r="I1" s="440" t="s">
        <v>63</v>
      </c>
      <c r="J1" s="426"/>
      <c r="K1" s="439"/>
      <c r="L1" s="439"/>
      <c r="M1" s="439"/>
      <c r="N1" s="287"/>
      <c r="O1" s="439"/>
      <c r="P1" s="439"/>
      <c r="Q1" s="439"/>
      <c r="R1" s="439"/>
      <c r="S1" s="439"/>
      <c r="T1" s="439"/>
      <c r="U1" s="439"/>
      <c r="V1" s="439"/>
      <c r="W1" s="439"/>
      <c r="X1" s="439"/>
      <c r="Y1" s="439"/>
      <c r="Z1" s="439"/>
      <c r="AA1" s="439"/>
      <c r="AB1" s="439"/>
    </row>
    <row r="2" ht="18.75" customHeight="1">
      <c r="A2" s="664" t="str">
        <f>IF(ISBLANK(Ch2_Size),"",VLOOKUP(Ch2_Size,SizeMultipliers,2, FALSE))</f>
        <v/>
      </c>
      <c r="B2" s="665" t="s">
        <v>64</v>
      </c>
      <c r="C2" s="666"/>
      <c r="D2" s="667"/>
      <c r="E2" s="547" t="str">
        <f>IMAGE(E1,1)</f>
        <v/>
      </c>
      <c r="G2" s="668" t="s">
        <v>65</v>
      </c>
      <c r="H2" s="669"/>
      <c r="I2" s="446" t="str">
        <f>IMAGE(I1,1)</f>
        <v/>
      </c>
      <c r="K2" s="665" t="str">
        <f>IF(ISBLANK(Ch2_MountName),"Mount",Ch2_MountName)&amp;"'s Encumbrance"</f>
        <v>Mount's Encumbrance</v>
      </c>
      <c r="L2" s="22"/>
      <c r="M2" s="23"/>
      <c r="N2" s="394" t="str">
        <f>IF(ISBLANK(Ch2_MountSize),"",VLOOKUP(Ch2_MountSize,SizeMultipliers,2, FALSE))</f>
        <v/>
      </c>
    </row>
    <row r="3" ht="18.75" customHeight="1">
      <c r="A3" s="289"/>
      <c r="B3" s="352" t="s">
        <v>53</v>
      </c>
      <c r="C3" s="353"/>
      <c r="D3" s="670">
        <f>Ch2_Str*Ch2_SizeMultiplier*5</f>
        <v>0</v>
      </c>
      <c r="G3" s="671" t="s">
        <v>66</v>
      </c>
      <c r="H3" s="672">
        <v>0.0</v>
      </c>
      <c r="K3" s="352" t="s">
        <v>53</v>
      </c>
      <c r="L3" s="353"/>
      <c r="M3" s="670">
        <f>Ch2_MountStr*Ch2_MountSizeMult*5</f>
        <v>0</v>
      </c>
      <c r="N3" s="346"/>
    </row>
    <row r="4" ht="18.75" customHeight="1">
      <c r="A4" s="289"/>
      <c r="B4" s="673" t="s">
        <v>55</v>
      </c>
      <c r="C4" s="674"/>
      <c r="D4" s="675">
        <f>Ch2_Str*Ch2_SizeMultiplier*10</f>
        <v>0</v>
      </c>
      <c r="G4" s="676" t="s">
        <v>67</v>
      </c>
      <c r="H4" s="672">
        <f>(VLOOKUP(ADD(Ch2_Level,1),XPTable_v,2))-Ch2_XP</f>
        <v>300</v>
      </c>
      <c r="K4" s="673" t="s">
        <v>55</v>
      </c>
      <c r="L4" s="674"/>
      <c r="M4" s="675">
        <f>Ch2_MountStr*Ch2_MountSizeMult*10</f>
        <v>0</v>
      </c>
      <c r="N4" s="346"/>
    </row>
    <row r="5" ht="18.75" customHeight="1">
      <c r="A5" s="289"/>
      <c r="B5" s="352" t="s">
        <v>17</v>
      </c>
      <c r="C5" s="353"/>
      <c r="D5" s="670">
        <f>Ch2_Str*Ch2_SizeMultiplier*15</f>
        <v>0</v>
      </c>
      <c r="G5" s="677" t="s">
        <v>68</v>
      </c>
      <c r="H5" s="678">
        <f>MATCH(Ch2_XP,XPTable_m,2)</f>
        <v>1</v>
      </c>
      <c r="K5" s="352" t="s">
        <v>17</v>
      </c>
      <c r="L5" s="353"/>
      <c r="M5" s="670">
        <f>Ch2_MountStr*Ch2_MountSizeMult*15</f>
        <v>0</v>
      </c>
      <c r="N5" s="346"/>
    </row>
    <row r="6" ht="18.75" customHeight="1">
      <c r="A6" s="289"/>
      <c r="B6" s="673" t="s">
        <v>57</v>
      </c>
      <c r="C6" s="674"/>
      <c r="D6" s="675">
        <f>Ch2_Str*Ch2_SizeMultiplier*30</f>
        <v>0</v>
      </c>
      <c r="G6" s="17"/>
      <c r="H6" s="17"/>
      <c r="K6" s="673" t="s">
        <v>57</v>
      </c>
      <c r="L6" s="674"/>
      <c r="M6" s="675">
        <f>Ch2_MountStr*Ch2_MountSizeMult*30</f>
        <v>0</v>
      </c>
      <c r="N6" s="346"/>
    </row>
    <row r="7" ht="18.75" customHeight="1">
      <c r="A7" s="289"/>
      <c r="B7" s="457" t="s">
        <v>43</v>
      </c>
      <c r="C7" s="679"/>
      <c r="D7" s="680">
        <f t="array" ref="D7">SUMIF(Ch2_EquipStatus,"=On Character",Ch2_InventoryWeights)</f>
        <v>0</v>
      </c>
      <c r="G7" s="681" t="s">
        <v>30</v>
      </c>
      <c r="H7" s="461">
        <f>SUM(G11:G15,G19:G24)</f>
        <v>40</v>
      </c>
      <c r="K7" s="369" t="s">
        <v>43</v>
      </c>
      <c r="L7" s="679"/>
      <c r="M7" s="682">
        <f t="array" ref="M7">SUMIF(Ch2_EquipStatus,"=On Mount",Ch2_InventoryWeights)++IF( NOT(EQ(N2,"")),D7+Ch2_Weight,"")</f>
        <v>0</v>
      </c>
      <c r="N7" s="346"/>
    </row>
    <row r="8" ht="7.5" customHeight="1">
      <c r="A8" s="289"/>
      <c r="B8" s="463"/>
      <c r="C8" s="464"/>
      <c r="D8" s="465"/>
      <c r="E8" s="464"/>
      <c r="F8" s="464"/>
      <c r="G8" s="464"/>
      <c r="H8" s="464"/>
      <c r="I8" s="466"/>
      <c r="J8" s="467"/>
      <c r="K8" s="467"/>
      <c r="L8" s="467"/>
      <c r="M8" s="467"/>
      <c r="N8" s="346"/>
    </row>
    <row r="9" ht="18.75" customHeight="1">
      <c r="A9" s="289"/>
      <c r="B9" s="683" t="s">
        <v>28</v>
      </c>
      <c r="C9" s="684"/>
      <c r="D9" s="685" t="s">
        <v>29</v>
      </c>
      <c r="E9" s="686"/>
      <c r="F9" s="686"/>
      <c r="G9" s="686"/>
      <c r="H9" s="686"/>
      <c r="I9" s="687"/>
      <c r="J9" s="688"/>
      <c r="K9" s="688"/>
      <c r="L9" s="688"/>
      <c r="M9" s="689"/>
      <c r="N9" s="346"/>
    </row>
    <row r="10" ht="18.75" customHeight="1">
      <c r="A10" s="289"/>
      <c r="B10" s="690" t="s">
        <v>31</v>
      </c>
      <c r="C10" s="691" t="s">
        <v>11</v>
      </c>
      <c r="D10" s="691" t="s">
        <v>32</v>
      </c>
      <c r="E10" s="691" t="s">
        <v>33</v>
      </c>
      <c r="F10" s="691" t="s">
        <v>34</v>
      </c>
      <c r="G10" s="691" t="s">
        <v>35</v>
      </c>
      <c r="H10" s="691" t="s">
        <v>36</v>
      </c>
      <c r="I10" s="691" t="s">
        <v>37</v>
      </c>
      <c r="J10" s="691" t="s">
        <v>38</v>
      </c>
      <c r="K10" s="691" t="s">
        <v>39</v>
      </c>
      <c r="L10" s="691" t="s">
        <v>40</v>
      </c>
      <c r="M10" s="692" t="s">
        <v>41</v>
      </c>
      <c r="N10" s="447"/>
    </row>
    <row r="11" ht="18.75" customHeight="1">
      <c r="A11" s="289"/>
      <c r="B11" s="693">
        <v>0.0</v>
      </c>
      <c r="C11" s="694" t="s">
        <v>42</v>
      </c>
      <c r="D11" s="695">
        <f>B11</f>
        <v>0</v>
      </c>
      <c r="E11" s="696">
        <f>B11/10</f>
        <v>0</v>
      </c>
      <c r="F11" s="696">
        <f>B11/50</f>
        <v>0</v>
      </c>
      <c r="G11" s="696">
        <f>B11/100</f>
        <v>0</v>
      </c>
      <c r="H11" s="696">
        <f>B11/1000</f>
        <v>0</v>
      </c>
      <c r="I11" s="697">
        <f>B11/5000</f>
        <v>0</v>
      </c>
      <c r="J11" s="698">
        <f>B11/10000</f>
        <v>0</v>
      </c>
      <c r="K11" s="698">
        <f>B11/50000</f>
        <v>0</v>
      </c>
      <c r="L11" s="698">
        <f>B11/100000</f>
        <v>0</v>
      </c>
      <c r="M11" s="699">
        <f>B11/500000</f>
        <v>0</v>
      </c>
      <c r="N11" s="346"/>
    </row>
    <row r="12" ht="18.75" customHeight="1">
      <c r="A12" s="289"/>
      <c r="B12" s="693">
        <v>400.0</v>
      </c>
      <c r="C12" s="694" t="s">
        <v>44</v>
      </c>
      <c r="D12" s="696">
        <f>B12*10</f>
        <v>4000</v>
      </c>
      <c r="E12" s="695">
        <f>B12</f>
        <v>400</v>
      </c>
      <c r="F12" s="696">
        <f>B12/5</f>
        <v>80</v>
      </c>
      <c r="G12" s="696">
        <f>B12/10</f>
        <v>40</v>
      </c>
      <c r="H12" s="696">
        <f>B12/100</f>
        <v>4</v>
      </c>
      <c r="I12" s="696">
        <f>B12/500</f>
        <v>0.8</v>
      </c>
      <c r="J12" s="696">
        <f>B12/1000</f>
        <v>0.4</v>
      </c>
      <c r="K12" s="696">
        <f>B12/5000</f>
        <v>0.08</v>
      </c>
      <c r="L12" s="696">
        <f>B12/10000</f>
        <v>0.04</v>
      </c>
      <c r="M12" s="700">
        <f>B12/50000</f>
        <v>0.008</v>
      </c>
      <c r="N12" s="346"/>
    </row>
    <row r="13" ht="18.75" customHeight="1">
      <c r="A13" s="289"/>
      <c r="B13" s="693">
        <v>0.0</v>
      </c>
      <c r="C13" s="694" t="s">
        <v>45</v>
      </c>
      <c r="D13" s="696">
        <f>B13*50</f>
        <v>0</v>
      </c>
      <c r="E13" s="696">
        <f>B13*5</f>
        <v>0</v>
      </c>
      <c r="F13" s="695">
        <f>B13</f>
        <v>0</v>
      </c>
      <c r="G13" s="696">
        <f>B13/2</f>
        <v>0</v>
      </c>
      <c r="H13" s="696">
        <f>B13/20</f>
        <v>0</v>
      </c>
      <c r="I13" s="696">
        <f>B13/100</f>
        <v>0</v>
      </c>
      <c r="J13" s="698">
        <f>B13/200</f>
        <v>0</v>
      </c>
      <c r="K13" s="698">
        <f>B13/1000</f>
        <v>0</v>
      </c>
      <c r="L13" s="698">
        <f>B13/2000</f>
        <v>0</v>
      </c>
      <c r="M13" s="699">
        <f>B13/10000</f>
        <v>0</v>
      </c>
      <c r="N13" s="346"/>
    </row>
    <row r="14" ht="18.75" customHeight="1">
      <c r="A14" s="289"/>
      <c r="B14" s="693">
        <v>0.0</v>
      </c>
      <c r="C14" s="694" t="s">
        <v>46</v>
      </c>
      <c r="D14" s="696">
        <f>B14*100</f>
        <v>0</v>
      </c>
      <c r="E14" s="696">
        <f>B14*10</f>
        <v>0</v>
      </c>
      <c r="F14" s="696">
        <f>B14*2</f>
        <v>0</v>
      </c>
      <c r="G14" s="695">
        <f>B14</f>
        <v>0</v>
      </c>
      <c r="H14" s="696">
        <f>B14/10</f>
        <v>0</v>
      </c>
      <c r="I14" s="696">
        <f>B14/50</f>
        <v>0</v>
      </c>
      <c r="J14" s="698">
        <f>B14/100</f>
        <v>0</v>
      </c>
      <c r="K14" s="698">
        <f>B14/500</f>
        <v>0</v>
      </c>
      <c r="L14" s="698">
        <f>B14/1000</f>
        <v>0</v>
      </c>
      <c r="M14" s="699">
        <f>B14/5000</f>
        <v>0</v>
      </c>
      <c r="N14" s="346"/>
    </row>
    <row r="15" ht="18.75" customHeight="1">
      <c r="A15" s="289"/>
      <c r="B15" s="701">
        <v>0.0</v>
      </c>
      <c r="C15" s="702" t="s">
        <v>47</v>
      </c>
      <c r="D15" s="703">
        <f>B15*1000</f>
        <v>0</v>
      </c>
      <c r="E15" s="703">
        <f>B15*100</f>
        <v>0</v>
      </c>
      <c r="F15" s="703">
        <f>B15*20</f>
        <v>0</v>
      </c>
      <c r="G15" s="703">
        <f>B15*10</f>
        <v>0</v>
      </c>
      <c r="H15" s="703">
        <f>B15*1</f>
        <v>0</v>
      </c>
      <c r="I15" s="703">
        <f>B15/5</f>
        <v>0</v>
      </c>
      <c r="J15" s="704">
        <f>B15/10</f>
        <v>0</v>
      </c>
      <c r="K15" s="704">
        <f>B15/50</f>
        <v>0</v>
      </c>
      <c r="L15" s="704">
        <f>B15/100</f>
        <v>0</v>
      </c>
      <c r="M15" s="705">
        <f>B15/500</f>
        <v>0</v>
      </c>
      <c r="N15" s="346"/>
    </row>
    <row r="16" ht="7.5" customHeight="1">
      <c r="A16" s="289"/>
      <c r="B16" s="338"/>
      <c r="C16" s="339"/>
      <c r="D16" s="339"/>
      <c r="E16" s="339"/>
      <c r="F16" s="339"/>
      <c r="G16" s="339"/>
      <c r="H16" s="339"/>
      <c r="I16" s="339"/>
      <c r="J16" s="340"/>
      <c r="K16" s="340"/>
      <c r="L16" s="340"/>
      <c r="M16" s="340"/>
      <c r="N16" s="341"/>
      <c r="O16" s="114"/>
      <c r="P16" s="114"/>
      <c r="Q16" s="114"/>
      <c r="R16" s="114"/>
      <c r="S16" s="114"/>
      <c r="T16" s="114"/>
      <c r="U16" s="114"/>
      <c r="V16" s="114"/>
      <c r="W16" s="114"/>
      <c r="X16" s="114"/>
      <c r="Y16" s="114"/>
      <c r="Z16" s="114"/>
      <c r="AA16" s="114"/>
      <c r="AB16" s="114"/>
    </row>
    <row r="17" ht="18.75" customHeight="1">
      <c r="A17" s="289"/>
      <c r="B17" s="683" t="s">
        <v>48</v>
      </c>
      <c r="C17" s="686"/>
      <c r="D17" s="685" t="s">
        <v>29</v>
      </c>
      <c r="E17" s="686"/>
      <c r="F17" s="686"/>
      <c r="G17" s="686"/>
      <c r="H17" s="686"/>
      <c r="I17" s="686"/>
      <c r="J17" s="688"/>
      <c r="K17" s="688"/>
      <c r="L17" s="688"/>
      <c r="M17" s="689"/>
      <c r="N17" s="346"/>
    </row>
    <row r="18" ht="18.75" customHeight="1">
      <c r="A18" s="289"/>
      <c r="B18" s="690" t="s">
        <v>31</v>
      </c>
      <c r="C18" s="691" t="s">
        <v>11</v>
      </c>
      <c r="D18" s="691" t="s">
        <v>32</v>
      </c>
      <c r="E18" s="691" t="s">
        <v>33</v>
      </c>
      <c r="F18" s="691" t="s">
        <v>34</v>
      </c>
      <c r="G18" s="691" t="s">
        <v>35</v>
      </c>
      <c r="H18" s="691" t="s">
        <v>36</v>
      </c>
      <c r="I18" s="691" t="s">
        <v>37</v>
      </c>
      <c r="J18" s="691" t="s">
        <v>38</v>
      </c>
      <c r="K18" s="691" t="s">
        <v>39</v>
      </c>
      <c r="L18" s="691" t="s">
        <v>40</v>
      </c>
      <c r="M18" s="692" t="s">
        <v>41</v>
      </c>
      <c r="N18" s="346"/>
    </row>
    <row r="19" ht="18.75" customHeight="1">
      <c r="A19" s="289"/>
      <c r="B19" s="693">
        <v>0.0</v>
      </c>
      <c r="C19" s="694" t="s">
        <v>49</v>
      </c>
      <c r="D19" s="696">
        <f>B19*1000</f>
        <v>0</v>
      </c>
      <c r="E19" s="696">
        <f>B19*100</f>
        <v>0</v>
      </c>
      <c r="F19" s="696">
        <f>B19*20</f>
        <v>0</v>
      </c>
      <c r="G19" s="696">
        <f>B19*10</f>
        <v>0</v>
      </c>
      <c r="H19" s="696">
        <f>B19*1</f>
        <v>0</v>
      </c>
      <c r="I19" s="696">
        <f>B19/5</f>
        <v>0</v>
      </c>
      <c r="J19" s="698">
        <f>B19/10</f>
        <v>0</v>
      </c>
      <c r="K19" s="698">
        <f>B19/50</f>
        <v>0</v>
      </c>
      <c r="L19" s="698">
        <f>B19/100</f>
        <v>0</v>
      </c>
      <c r="M19" s="699">
        <f>B19/500</f>
        <v>0</v>
      </c>
      <c r="N19" s="346"/>
    </row>
    <row r="20" ht="18.75" customHeight="1">
      <c r="A20" s="289"/>
      <c r="B20" s="693">
        <v>0.0</v>
      </c>
      <c r="C20" s="694" t="s">
        <v>50</v>
      </c>
      <c r="D20" s="696">
        <f>B20*5000</f>
        <v>0</v>
      </c>
      <c r="E20" s="696">
        <f>B20*500</f>
        <v>0</v>
      </c>
      <c r="F20" s="696">
        <f>B20*100</f>
        <v>0</v>
      </c>
      <c r="G20" s="696">
        <f>B20*50</f>
        <v>0</v>
      </c>
      <c r="H20" s="696">
        <f>B20*5</f>
        <v>0</v>
      </c>
      <c r="I20" s="695">
        <f>B20</f>
        <v>0</v>
      </c>
      <c r="J20" s="698">
        <f>B20/2</f>
        <v>0</v>
      </c>
      <c r="K20" s="698">
        <f>B20/10</f>
        <v>0</v>
      </c>
      <c r="L20" s="698">
        <f>B20/20</f>
        <v>0</v>
      </c>
      <c r="M20" s="699">
        <f>B20/100</f>
        <v>0</v>
      </c>
      <c r="N20" s="346"/>
    </row>
    <row r="21" ht="18.75" customHeight="1">
      <c r="A21" s="289"/>
      <c r="B21" s="693">
        <v>0.0</v>
      </c>
      <c r="C21" s="694" t="s">
        <v>51</v>
      </c>
      <c r="D21" s="696">
        <f>B21*10000</f>
        <v>0</v>
      </c>
      <c r="E21" s="696">
        <f>B21*1000</f>
        <v>0</v>
      </c>
      <c r="F21" s="696">
        <f>B21*200</f>
        <v>0</v>
      </c>
      <c r="G21" s="696">
        <f>B21*100</f>
        <v>0</v>
      </c>
      <c r="H21" s="696">
        <f>B21*10</f>
        <v>0</v>
      </c>
      <c r="I21" s="696">
        <f>B21/5*10</f>
        <v>0</v>
      </c>
      <c r="J21" s="706">
        <f>B21</f>
        <v>0</v>
      </c>
      <c r="K21" s="698">
        <f>B21/5</f>
        <v>0</v>
      </c>
      <c r="L21" s="698">
        <f>B21/10</f>
        <v>0</v>
      </c>
      <c r="M21" s="699">
        <f>B21/50</f>
        <v>0</v>
      </c>
      <c r="N21" s="346"/>
    </row>
    <row r="22" ht="18.75" customHeight="1">
      <c r="A22" s="289"/>
      <c r="B22" s="693">
        <v>0.0</v>
      </c>
      <c r="C22" s="694" t="s">
        <v>52</v>
      </c>
      <c r="D22" s="696">
        <f>B22*50000</f>
        <v>0</v>
      </c>
      <c r="E22" s="696">
        <f>B22*5000</f>
        <v>0</v>
      </c>
      <c r="F22" s="696">
        <f>B22*1000</f>
        <v>0</v>
      </c>
      <c r="G22" s="696">
        <f>B22*500</f>
        <v>0</v>
      </c>
      <c r="H22" s="696">
        <f>B22*50</f>
        <v>0</v>
      </c>
      <c r="I22" s="696">
        <f>B22*10</f>
        <v>0</v>
      </c>
      <c r="J22" s="698">
        <f>B22/2*10</f>
        <v>0</v>
      </c>
      <c r="K22" s="706">
        <f>B22</f>
        <v>0</v>
      </c>
      <c r="L22" s="698">
        <f>B22/2</f>
        <v>0</v>
      </c>
      <c r="M22" s="699">
        <f>B22/10</f>
        <v>0</v>
      </c>
      <c r="N22" s="346"/>
    </row>
    <row r="23" ht="18.75" customHeight="1">
      <c r="A23" s="289"/>
      <c r="B23" s="693">
        <v>0.0</v>
      </c>
      <c r="C23" s="694" t="s">
        <v>54</v>
      </c>
      <c r="D23" s="696">
        <f>B23*100000</f>
        <v>0</v>
      </c>
      <c r="E23" s="696">
        <f>B23*10000</f>
        <v>0</v>
      </c>
      <c r="F23" s="696">
        <f>B23*2000</f>
        <v>0</v>
      </c>
      <c r="G23" s="696">
        <f>B23*1000</f>
        <v>0</v>
      </c>
      <c r="H23" s="696">
        <f>B23*100</f>
        <v>0</v>
      </c>
      <c r="I23" s="696">
        <f>B23/5*100</f>
        <v>0</v>
      </c>
      <c r="J23" s="698">
        <f>B23*10</f>
        <v>0</v>
      </c>
      <c r="K23" s="698">
        <f>B23/5*10</f>
        <v>0</v>
      </c>
      <c r="L23" s="706">
        <f>B23</f>
        <v>0</v>
      </c>
      <c r="M23" s="699">
        <f>B23/5</f>
        <v>0</v>
      </c>
      <c r="N23" s="346"/>
    </row>
    <row r="24" ht="18.75" customHeight="1">
      <c r="A24" s="289"/>
      <c r="B24" s="701">
        <v>0.0</v>
      </c>
      <c r="C24" s="702" t="s">
        <v>56</v>
      </c>
      <c r="D24" s="703">
        <f>B24*500000</f>
        <v>0</v>
      </c>
      <c r="E24" s="703">
        <f>B24*50000</f>
        <v>0</v>
      </c>
      <c r="F24" s="703">
        <f>B24*10000</f>
        <v>0</v>
      </c>
      <c r="G24" s="703">
        <f>B24*5000</f>
        <v>0</v>
      </c>
      <c r="H24" s="703">
        <f>B24*500</f>
        <v>0</v>
      </c>
      <c r="I24" s="703">
        <f>B24*100</f>
        <v>0</v>
      </c>
      <c r="J24" s="704">
        <f>B24/2*100</f>
        <v>0</v>
      </c>
      <c r="K24" s="704">
        <f>B24*10</f>
        <v>0</v>
      </c>
      <c r="L24" s="704">
        <f>B24/2*10</f>
        <v>0</v>
      </c>
      <c r="M24" s="707">
        <f>B24</f>
        <v>0</v>
      </c>
      <c r="N24" s="346"/>
    </row>
    <row r="25" ht="7.5" customHeight="1">
      <c r="A25" s="289"/>
      <c r="B25" s="364"/>
      <c r="C25" s="13"/>
      <c r="D25" s="13"/>
      <c r="E25" s="13"/>
      <c r="F25" s="13"/>
      <c r="G25" s="13"/>
      <c r="H25" s="13"/>
      <c r="I25" s="13"/>
      <c r="J25" s="261"/>
      <c r="K25" s="261"/>
      <c r="L25" s="261"/>
      <c r="M25" s="261"/>
      <c r="N25" s="346"/>
    </row>
    <row r="26" ht="18.75" customHeight="1">
      <c r="A26" s="289"/>
      <c r="B26" s="708" t="s">
        <v>31</v>
      </c>
      <c r="C26" s="709" t="s">
        <v>58</v>
      </c>
      <c r="D26" s="709" t="s">
        <v>59</v>
      </c>
      <c r="E26" s="709" t="s">
        <v>60</v>
      </c>
      <c r="F26" s="709" t="s">
        <v>61</v>
      </c>
      <c r="G26" s="709" t="s">
        <v>69</v>
      </c>
      <c r="H26" s="710" t="s">
        <v>73</v>
      </c>
      <c r="I26" s="711" t="s">
        <v>71</v>
      </c>
      <c r="J26" s="22"/>
      <c r="K26" s="22"/>
      <c r="L26" s="22"/>
      <c r="M26" s="23"/>
      <c r="N26" s="368"/>
    </row>
    <row r="27" ht="18.75" customHeight="1">
      <c r="A27" s="373">
        <f>IFERROR(VLOOKUP(H27,PartyStorage,2, FALSE),0)</f>
        <v>0</v>
      </c>
      <c r="B27" s="712">
        <f>sum(Ch2_Money)</f>
        <v>400</v>
      </c>
      <c r="C27" s="485" t="s">
        <v>28</v>
      </c>
      <c r="D27" s="509">
        <v>0.02</v>
      </c>
      <c r="E27" s="713">
        <f t="shared" ref="E27:E208" si="1">IF(ISBLANK(C27),"",IF(ISBLANK(B27),D27,D27*B27))</f>
        <v>8</v>
      </c>
      <c r="F27" s="714"/>
      <c r="G27" s="510" t="s">
        <v>74</v>
      </c>
      <c r="H27" s="715"/>
      <c r="I27" s="716"/>
      <c r="M27" s="378"/>
      <c r="N27" s="346">
        <f>IFERROR(VLOOKUP(G27,Ch2_Storage,2, FALSE),0)</f>
        <v>0</v>
      </c>
    </row>
    <row r="28" ht="18.75" customHeight="1">
      <c r="A28" s="373">
        <f>IFERROR(VLOOKUP(H28,PartyStorage,2, FALSE),0)</f>
        <v>0</v>
      </c>
      <c r="B28" s="717">
        <f>sum(Ch2_Gems)</f>
        <v>0</v>
      </c>
      <c r="C28" s="718" t="s">
        <v>48</v>
      </c>
      <c r="D28" s="719">
        <v>0.02</v>
      </c>
      <c r="E28" s="720">
        <f t="shared" si="1"/>
        <v>0</v>
      </c>
      <c r="F28" s="721"/>
      <c r="G28" s="722" t="s">
        <v>74</v>
      </c>
      <c r="H28" s="723"/>
      <c r="I28" s="724"/>
      <c r="M28" s="725"/>
      <c r="N28" s="346">
        <f>IFERROR(VLOOKUP(G28,Ch2_Storage,2),0)</f>
        <v>0</v>
      </c>
    </row>
    <row r="29" ht="18.75" customHeight="1">
      <c r="A29" s="373">
        <f>IFERROR(VLOOKUP(H29,PartyStorage,2, FALSE),0)</f>
        <v>0</v>
      </c>
      <c r="B29" s="726"/>
      <c r="C29" s="727" t="s">
        <v>58</v>
      </c>
      <c r="D29" s="713">
        <v>75.0</v>
      </c>
      <c r="E29" s="713">
        <f t="shared" si="1"/>
        <v>75</v>
      </c>
      <c r="F29" s="714"/>
      <c r="G29" s="727" t="s">
        <v>74</v>
      </c>
      <c r="H29" s="715"/>
      <c r="I29" s="716"/>
      <c r="M29" s="378"/>
      <c r="N29" s="346">
        <f>IFERROR(VLOOKUP(G29,Ch2_Storage,2),0)</f>
        <v>0</v>
      </c>
    </row>
    <row r="30" ht="18.75" customHeight="1">
      <c r="A30" s="373">
        <f>IFERROR(VLOOKUP(H30,PartyStorage,2, FALSE),0)</f>
        <v>0</v>
      </c>
      <c r="B30" s="728"/>
      <c r="C30" s="721"/>
      <c r="D30" s="729"/>
      <c r="E30" s="720" t="str">
        <f t="shared" si="1"/>
        <v/>
      </c>
      <c r="F30" s="721"/>
      <c r="G30" s="730"/>
      <c r="H30" s="723"/>
      <c r="I30" s="724"/>
      <c r="M30" s="725"/>
      <c r="N30" s="346">
        <f>IFERROR(VLOOKUP(G30,Ch2_Storage,2),0)</f>
        <v>0</v>
      </c>
    </row>
    <row r="31" ht="18.75" customHeight="1">
      <c r="A31" s="373">
        <f>IFERROR(VLOOKUP(H31,PartyStorage,2, FALSE),0)</f>
        <v>0</v>
      </c>
      <c r="B31" s="726"/>
      <c r="C31" s="714"/>
      <c r="D31" s="731"/>
      <c r="E31" s="713" t="str">
        <f t="shared" si="1"/>
        <v/>
      </c>
      <c r="F31" s="714"/>
      <c r="G31" s="727"/>
      <c r="H31" s="715"/>
      <c r="I31" s="716"/>
      <c r="M31" s="378"/>
      <c r="N31" s="346">
        <f>IFERROR(VLOOKUP(G31,Ch2_Storage,2),0)</f>
        <v>0</v>
      </c>
    </row>
    <row r="32" ht="18.75" customHeight="1">
      <c r="A32" s="373">
        <f>IFERROR(VLOOKUP(H32,PartyStorage,2, FALSE),0)</f>
        <v>0</v>
      </c>
      <c r="B32" s="728"/>
      <c r="C32" s="721"/>
      <c r="D32" s="729"/>
      <c r="E32" s="720" t="str">
        <f t="shared" si="1"/>
        <v/>
      </c>
      <c r="F32" s="721"/>
      <c r="G32" s="730"/>
      <c r="H32" s="723"/>
      <c r="I32" s="724"/>
      <c r="M32" s="725"/>
      <c r="N32" s="346">
        <f>IFERROR(VLOOKUP(G32,Ch2_Storage,2),0)</f>
        <v>0</v>
      </c>
    </row>
    <row r="33" ht="18.75" customHeight="1">
      <c r="A33" s="373">
        <f>IFERROR(VLOOKUP(H33,PartyStorage,2, FALSE),0)</f>
        <v>0</v>
      </c>
      <c r="B33" s="726"/>
      <c r="C33" s="714"/>
      <c r="D33" s="731"/>
      <c r="E33" s="713" t="str">
        <f t="shared" si="1"/>
        <v/>
      </c>
      <c r="F33" s="714"/>
      <c r="G33" s="727"/>
      <c r="H33" s="715"/>
      <c r="I33" s="716"/>
      <c r="M33" s="378"/>
      <c r="N33" s="346">
        <f>IFERROR(VLOOKUP(G33,Ch2_Storage,2),0)</f>
        <v>0</v>
      </c>
    </row>
    <row r="34" ht="18.75" customHeight="1">
      <c r="A34" s="373">
        <f>IFERROR(VLOOKUP(H34,PartyStorage,2, FALSE),0)</f>
        <v>0</v>
      </c>
      <c r="B34" s="728"/>
      <c r="C34" s="721"/>
      <c r="D34" s="729"/>
      <c r="E34" s="720" t="str">
        <f t="shared" si="1"/>
        <v/>
      </c>
      <c r="F34" s="721"/>
      <c r="G34" s="730"/>
      <c r="H34" s="723"/>
      <c r="I34" s="724"/>
      <c r="M34" s="725"/>
      <c r="N34" s="346">
        <f>IFERROR(VLOOKUP(G34,Ch2_Storage,2),0)</f>
        <v>0</v>
      </c>
    </row>
    <row r="35" ht="18.75" customHeight="1">
      <c r="A35" s="373">
        <f>IFERROR(VLOOKUP(H35,PartyStorage,2, FALSE),0)</f>
        <v>0</v>
      </c>
      <c r="B35" s="726"/>
      <c r="C35" s="714"/>
      <c r="D35" s="731"/>
      <c r="E35" s="713" t="str">
        <f t="shared" si="1"/>
        <v/>
      </c>
      <c r="F35" s="714"/>
      <c r="G35" s="727"/>
      <c r="H35" s="715"/>
      <c r="I35" s="716"/>
      <c r="M35" s="378"/>
      <c r="N35" s="346">
        <f>IFERROR(VLOOKUP(G35,Ch2_Storage,2),0)</f>
        <v>0</v>
      </c>
    </row>
    <row r="36" ht="18.75" customHeight="1">
      <c r="A36" s="373">
        <f>IFERROR(VLOOKUP(H36,PartyStorage,2, FALSE),0)</f>
        <v>0</v>
      </c>
      <c r="B36" s="728"/>
      <c r="C36" s="721"/>
      <c r="D36" s="729"/>
      <c r="E36" s="720" t="str">
        <f t="shared" si="1"/>
        <v/>
      </c>
      <c r="F36" s="721"/>
      <c r="G36" s="730"/>
      <c r="H36" s="723"/>
      <c r="I36" s="724"/>
      <c r="M36" s="725"/>
      <c r="N36" s="346">
        <f>IFERROR(VLOOKUP(G36,Ch2_Storage,2),0)</f>
        <v>0</v>
      </c>
    </row>
    <row r="37" ht="18.75" customHeight="1">
      <c r="A37" s="373">
        <f>IFERROR(VLOOKUP(H37,PartyStorage,2, FALSE),0)</f>
        <v>0</v>
      </c>
      <c r="B37" s="726"/>
      <c r="C37" s="714"/>
      <c r="D37" s="731"/>
      <c r="E37" s="713" t="str">
        <f t="shared" si="1"/>
        <v/>
      </c>
      <c r="F37" s="714"/>
      <c r="G37" s="727"/>
      <c r="H37" s="715"/>
      <c r="I37" s="716"/>
      <c r="M37" s="378"/>
      <c r="N37" s="346">
        <f>IFERROR(VLOOKUP(G37,Ch2_Storage,2),0)</f>
        <v>0</v>
      </c>
    </row>
    <row r="38" ht="18.75" customHeight="1">
      <c r="A38" s="373">
        <f>IFERROR(VLOOKUP(H38,PartyStorage,2, FALSE),0)</f>
        <v>0</v>
      </c>
      <c r="B38" s="728"/>
      <c r="C38" s="721"/>
      <c r="D38" s="729"/>
      <c r="E38" s="720" t="str">
        <f t="shared" si="1"/>
        <v/>
      </c>
      <c r="F38" s="721"/>
      <c r="G38" s="730"/>
      <c r="H38" s="723"/>
      <c r="I38" s="724"/>
      <c r="M38" s="725"/>
      <c r="N38" s="346">
        <f>IFERROR(VLOOKUP(G38,Ch2_Storage,2),0)</f>
        <v>0</v>
      </c>
    </row>
    <row r="39" ht="18.75" customHeight="1">
      <c r="A39" s="373">
        <f>IFERROR(VLOOKUP(H39,PartyStorage,2, FALSE),0)</f>
        <v>0</v>
      </c>
      <c r="B39" s="726"/>
      <c r="C39" s="714"/>
      <c r="D39" s="731"/>
      <c r="E39" s="713" t="str">
        <f t="shared" si="1"/>
        <v/>
      </c>
      <c r="F39" s="714"/>
      <c r="G39" s="727"/>
      <c r="H39" s="715"/>
      <c r="I39" s="716"/>
      <c r="M39" s="378"/>
      <c r="N39" s="346">
        <f>IFERROR(VLOOKUP(G39,Ch2_Storage,2),0)</f>
        <v>0</v>
      </c>
    </row>
    <row r="40" ht="18.75" customHeight="1">
      <c r="A40" s="373">
        <f>IFERROR(VLOOKUP(H40,PartyStorage,2, FALSE),0)</f>
        <v>0</v>
      </c>
      <c r="B40" s="728"/>
      <c r="C40" s="721"/>
      <c r="D40" s="729"/>
      <c r="E40" s="720" t="str">
        <f t="shared" si="1"/>
        <v/>
      </c>
      <c r="F40" s="721"/>
      <c r="G40" s="730"/>
      <c r="H40" s="723"/>
      <c r="I40" s="724"/>
      <c r="M40" s="725"/>
      <c r="N40" s="346">
        <f>IFERROR(VLOOKUP(G40,Ch2_Storage,2),0)</f>
        <v>0</v>
      </c>
    </row>
    <row r="41" ht="18.75" customHeight="1">
      <c r="A41" s="373">
        <f>IFERROR(VLOOKUP(H41,PartyStorage,2, FALSE),0)</f>
        <v>0</v>
      </c>
      <c r="B41" s="726"/>
      <c r="C41" s="714"/>
      <c r="D41" s="731"/>
      <c r="E41" s="713" t="str">
        <f t="shared" si="1"/>
        <v/>
      </c>
      <c r="F41" s="714"/>
      <c r="G41" s="727"/>
      <c r="H41" s="715"/>
      <c r="I41" s="716"/>
      <c r="M41" s="378"/>
      <c r="N41" s="346">
        <f>IFERROR(VLOOKUP(G41,Ch2_Storage,2),0)</f>
        <v>0</v>
      </c>
    </row>
    <row r="42" ht="18.75" customHeight="1">
      <c r="A42" s="373">
        <f>IFERROR(VLOOKUP(H42,PartyStorage,2, FALSE),0)</f>
        <v>0</v>
      </c>
      <c r="B42" s="728"/>
      <c r="C42" s="721"/>
      <c r="D42" s="729"/>
      <c r="E42" s="720" t="str">
        <f t="shared" si="1"/>
        <v/>
      </c>
      <c r="F42" s="721"/>
      <c r="G42" s="730"/>
      <c r="H42" s="723"/>
      <c r="I42" s="724"/>
      <c r="M42" s="725"/>
      <c r="N42" s="346">
        <f>IFERROR(VLOOKUP(G42,Ch2_Storage,2),0)</f>
        <v>0</v>
      </c>
    </row>
    <row r="43" ht="18.75" customHeight="1">
      <c r="A43" s="373">
        <f>IFERROR(VLOOKUP(H43,PartyStorage,2, FALSE),0)</f>
        <v>0</v>
      </c>
      <c r="B43" s="726"/>
      <c r="C43" s="714"/>
      <c r="D43" s="731"/>
      <c r="E43" s="713" t="str">
        <f t="shared" si="1"/>
        <v/>
      </c>
      <c r="F43" s="714"/>
      <c r="G43" s="727"/>
      <c r="H43" s="715"/>
      <c r="I43" s="716"/>
      <c r="M43" s="378"/>
      <c r="N43" s="346">
        <f>IFERROR(VLOOKUP(G43,Ch2_Storage,2),0)</f>
        <v>0</v>
      </c>
    </row>
    <row r="44" ht="18.75" customHeight="1">
      <c r="A44" s="373">
        <f>IFERROR(VLOOKUP(H44,PartyStorage,2, FALSE),0)</f>
        <v>0</v>
      </c>
      <c r="B44" s="728"/>
      <c r="C44" s="721"/>
      <c r="D44" s="729"/>
      <c r="E44" s="720" t="str">
        <f t="shared" si="1"/>
        <v/>
      </c>
      <c r="F44" s="721"/>
      <c r="G44" s="730"/>
      <c r="H44" s="723"/>
      <c r="I44" s="724"/>
      <c r="M44" s="725"/>
      <c r="N44" s="346">
        <f>IFERROR(VLOOKUP(G44,Ch2_Storage,2),0)</f>
        <v>0</v>
      </c>
    </row>
    <row r="45" ht="18.75" customHeight="1">
      <c r="A45" s="373">
        <f>IFERROR(VLOOKUP(H45,PartyStorage,2, FALSE),0)</f>
        <v>0</v>
      </c>
      <c r="B45" s="726"/>
      <c r="C45" s="714"/>
      <c r="D45" s="731"/>
      <c r="E45" s="713" t="str">
        <f t="shared" si="1"/>
        <v/>
      </c>
      <c r="F45" s="714"/>
      <c r="G45" s="727"/>
      <c r="H45" s="715"/>
      <c r="I45" s="716"/>
      <c r="M45" s="378"/>
      <c r="N45" s="346">
        <f>IFERROR(VLOOKUP(G45,Ch2_Storage,2),0)</f>
        <v>0</v>
      </c>
    </row>
    <row r="46" ht="18.75" customHeight="1">
      <c r="A46" s="373">
        <f>IFERROR(VLOOKUP(H46,PartyStorage,2, FALSE),0)</f>
        <v>0</v>
      </c>
      <c r="B46" s="728"/>
      <c r="C46" s="721"/>
      <c r="D46" s="729"/>
      <c r="E46" s="720" t="str">
        <f t="shared" si="1"/>
        <v/>
      </c>
      <c r="F46" s="721"/>
      <c r="G46" s="730"/>
      <c r="H46" s="723"/>
      <c r="I46" s="724"/>
      <c r="M46" s="725"/>
      <c r="N46" s="346">
        <f>IFERROR(VLOOKUP(G46,Ch2_Storage,2),0)</f>
        <v>0</v>
      </c>
    </row>
    <row r="47" ht="18.75" customHeight="1">
      <c r="A47" s="373">
        <f>IFERROR(VLOOKUP(H47,PartyStorage,2, FALSE),0)</f>
        <v>0</v>
      </c>
      <c r="B47" s="726"/>
      <c r="C47" s="714"/>
      <c r="D47" s="731"/>
      <c r="E47" s="713" t="str">
        <f t="shared" si="1"/>
        <v/>
      </c>
      <c r="F47" s="714"/>
      <c r="G47" s="727"/>
      <c r="H47" s="715"/>
      <c r="I47" s="716"/>
      <c r="M47" s="378"/>
      <c r="N47" s="346">
        <f>IFERROR(VLOOKUP(G47,Ch2_Storage,2),0)</f>
        <v>0</v>
      </c>
    </row>
    <row r="48" ht="18.75" customHeight="1">
      <c r="A48" s="373">
        <f>IFERROR(VLOOKUP(H48,PartyStorage,2, FALSE),0)</f>
        <v>0</v>
      </c>
      <c r="B48" s="728"/>
      <c r="C48" s="721"/>
      <c r="D48" s="729"/>
      <c r="E48" s="720" t="str">
        <f t="shared" si="1"/>
        <v/>
      </c>
      <c r="F48" s="721"/>
      <c r="G48" s="730"/>
      <c r="H48" s="723"/>
      <c r="I48" s="724"/>
      <c r="M48" s="725"/>
      <c r="N48" s="346">
        <f>IFERROR(VLOOKUP(G48,Ch2_Storage,2),0)</f>
        <v>0</v>
      </c>
    </row>
    <row r="49" ht="18.75" customHeight="1">
      <c r="A49" s="373">
        <f>IFERROR(VLOOKUP(H49,PartyStorage,2, FALSE),0)</f>
        <v>0</v>
      </c>
      <c r="B49" s="726"/>
      <c r="C49" s="714"/>
      <c r="D49" s="731"/>
      <c r="E49" s="713" t="str">
        <f t="shared" si="1"/>
        <v/>
      </c>
      <c r="F49" s="714"/>
      <c r="G49" s="727"/>
      <c r="H49" s="715"/>
      <c r="I49" s="716"/>
      <c r="M49" s="378"/>
      <c r="N49" s="346">
        <f>IFERROR(VLOOKUP(G49,Ch2_Storage,2),0)</f>
        <v>0</v>
      </c>
    </row>
    <row r="50" ht="18.75" customHeight="1">
      <c r="A50" s="373">
        <f>IFERROR(VLOOKUP(H50,PartyStorage,2, FALSE),0)</f>
        <v>0</v>
      </c>
      <c r="B50" s="728"/>
      <c r="C50" s="721"/>
      <c r="D50" s="729"/>
      <c r="E50" s="720" t="str">
        <f t="shared" si="1"/>
        <v/>
      </c>
      <c r="F50" s="721"/>
      <c r="G50" s="730"/>
      <c r="H50" s="723"/>
      <c r="I50" s="724"/>
      <c r="M50" s="725"/>
      <c r="N50" s="346">
        <f>IFERROR(VLOOKUP(G50,Ch2_Storage,2),0)</f>
        <v>0</v>
      </c>
    </row>
    <row r="51" ht="18.75" customHeight="1">
      <c r="A51" s="373">
        <f>IFERROR(VLOOKUP(H51,PartyStorage,2, FALSE),0)</f>
        <v>0</v>
      </c>
      <c r="B51" s="726"/>
      <c r="C51" s="714"/>
      <c r="D51" s="731"/>
      <c r="E51" s="713" t="str">
        <f t="shared" si="1"/>
        <v/>
      </c>
      <c r="F51" s="714"/>
      <c r="G51" s="727"/>
      <c r="H51" s="715"/>
      <c r="I51" s="716"/>
      <c r="M51" s="378"/>
      <c r="N51" s="346">
        <f>IFERROR(VLOOKUP(G51,Ch2_Storage,2),0)</f>
        <v>0</v>
      </c>
    </row>
    <row r="52" ht="18.75" customHeight="1">
      <c r="A52" s="373">
        <f>IFERROR(VLOOKUP(H52,PartyStorage,2, FALSE),0)</f>
        <v>0</v>
      </c>
      <c r="B52" s="728"/>
      <c r="C52" s="721"/>
      <c r="D52" s="729"/>
      <c r="E52" s="720" t="str">
        <f t="shared" si="1"/>
        <v/>
      </c>
      <c r="F52" s="721"/>
      <c r="G52" s="730"/>
      <c r="H52" s="723"/>
      <c r="I52" s="724"/>
      <c r="M52" s="725"/>
      <c r="N52" s="346">
        <f>IFERROR(VLOOKUP(G52,Ch2_Storage,2),0)</f>
        <v>0</v>
      </c>
    </row>
    <row r="53" ht="18.75" customHeight="1">
      <c r="A53" s="373">
        <f>IFERROR(VLOOKUP(H53,PartyStorage,2, FALSE),0)</f>
        <v>0</v>
      </c>
      <c r="B53" s="726"/>
      <c r="C53" s="714"/>
      <c r="D53" s="731"/>
      <c r="E53" s="713" t="str">
        <f t="shared" si="1"/>
        <v/>
      </c>
      <c r="F53" s="714"/>
      <c r="G53" s="727"/>
      <c r="H53" s="715"/>
      <c r="I53" s="716"/>
      <c r="M53" s="378"/>
      <c r="N53" s="346">
        <f>IFERROR(VLOOKUP(G53,Ch2_Storage,2),0)</f>
        <v>0</v>
      </c>
    </row>
    <row r="54" ht="18.75" customHeight="1">
      <c r="A54" s="373">
        <f>IFERROR(VLOOKUP(H54,PartyStorage,2, FALSE),0)</f>
        <v>0</v>
      </c>
      <c r="B54" s="728"/>
      <c r="C54" s="721"/>
      <c r="D54" s="729"/>
      <c r="E54" s="720" t="str">
        <f t="shared" si="1"/>
        <v/>
      </c>
      <c r="F54" s="721"/>
      <c r="G54" s="730"/>
      <c r="H54" s="723"/>
      <c r="I54" s="724"/>
      <c r="M54" s="725"/>
      <c r="N54" s="346">
        <f>IFERROR(VLOOKUP(G54,Ch2_Storage,2),0)</f>
        <v>0</v>
      </c>
    </row>
    <row r="55" ht="18.75" customHeight="1">
      <c r="A55" s="373">
        <f>IFERROR(VLOOKUP(H55,PartyStorage,2, FALSE),0)</f>
        <v>0</v>
      </c>
      <c r="B55" s="726"/>
      <c r="C55" s="714"/>
      <c r="D55" s="731"/>
      <c r="E55" s="713" t="str">
        <f t="shared" si="1"/>
        <v/>
      </c>
      <c r="F55" s="714"/>
      <c r="G55" s="727"/>
      <c r="H55" s="715"/>
      <c r="I55" s="716"/>
      <c r="M55" s="378"/>
      <c r="N55" s="346">
        <f>IFERROR(VLOOKUP(G55,Ch2_Storage,2),0)</f>
        <v>0</v>
      </c>
    </row>
    <row r="56" ht="18.75" customHeight="1">
      <c r="A56" s="373">
        <f>IFERROR(VLOOKUP(H56,PartyStorage,2, FALSE),0)</f>
        <v>0</v>
      </c>
      <c r="B56" s="728"/>
      <c r="C56" s="721"/>
      <c r="D56" s="729"/>
      <c r="E56" s="720" t="str">
        <f t="shared" si="1"/>
        <v/>
      </c>
      <c r="F56" s="721"/>
      <c r="G56" s="730"/>
      <c r="H56" s="723"/>
      <c r="I56" s="724"/>
      <c r="M56" s="725"/>
      <c r="N56" s="346">
        <f>IFERROR(VLOOKUP(G56,Ch2_Storage,2),0)</f>
        <v>0</v>
      </c>
    </row>
    <row r="57" ht="18.75" customHeight="1">
      <c r="A57" s="373">
        <f>IFERROR(VLOOKUP(H57,PartyStorage,2, FALSE),0)</f>
        <v>0</v>
      </c>
      <c r="B57" s="726"/>
      <c r="C57" s="714"/>
      <c r="D57" s="731"/>
      <c r="E57" s="713" t="str">
        <f t="shared" si="1"/>
        <v/>
      </c>
      <c r="F57" s="714"/>
      <c r="G57" s="727"/>
      <c r="H57" s="715"/>
      <c r="I57" s="716"/>
      <c r="M57" s="378"/>
      <c r="N57" s="346">
        <f>IFERROR(VLOOKUP(G57,Ch2_Storage,2),0)</f>
        <v>0</v>
      </c>
    </row>
    <row r="58" ht="18.75" customHeight="1">
      <c r="A58" s="373">
        <f>IFERROR(VLOOKUP(H58,PartyStorage,2, FALSE),0)</f>
        <v>0</v>
      </c>
      <c r="B58" s="728"/>
      <c r="C58" s="721"/>
      <c r="D58" s="729"/>
      <c r="E58" s="720" t="str">
        <f t="shared" si="1"/>
        <v/>
      </c>
      <c r="F58" s="721"/>
      <c r="G58" s="730"/>
      <c r="H58" s="723"/>
      <c r="I58" s="724"/>
      <c r="M58" s="725"/>
      <c r="N58" s="346">
        <f>IFERROR(VLOOKUP(G58,Ch2_Storage,2),0)</f>
        <v>0</v>
      </c>
    </row>
    <row r="59" ht="18.75" customHeight="1">
      <c r="A59" s="373">
        <f>IFERROR(VLOOKUP(H59,PartyStorage,2, FALSE),0)</f>
        <v>0</v>
      </c>
      <c r="B59" s="726"/>
      <c r="C59" s="714"/>
      <c r="D59" s="731"/>
      <c r="E59" s="713" t="str">
        <f t="shared" si="1"/>
        <v/>
      </c>
      <c r="F59" s="714"/>
      <c r="G59" s="727"/>
      <c r="H59" s="715"/>
      <c r="I59" s="716"/>
      <c r="M59" s="378"/>
      <c r="N59" s="346">
        <f>IFERROR(VLOOKUP(G59,Ch2_Storage,2),0)</f>
        <v>0</v>
      </c>
    </row>
    <row r="60" ht="18.75" customHeight="1">
      <c r="A60" s="373">
        <f>IFERROR(VLOOKUP(H60,PartyStorage,2, FALSE),0)</f>
        <v>0</v>
      </c>
      <c r="B60" s="728"/>
      <c r="C60" s="721"/>
      <c r="D60" s="729"/>
      <c r="E60" s="720" t="str">
        <f t="shared" si="1"/>
        <v/>
      </c>
      <c r="F60" s="721"/>
      <c r="G60" s="730"/>
      <c r="H60" s="723"/>
      <c r="I60" s="724"/>
      <c r="M60" s="725"/>
      <c r="N60" s="346">
        <f>IFERROR(VLOOKUP(G60,Ch2_Storage,2),0)</f>
        <v>0</v>
      </c>
    </row>
    <row r="61" ht="18.75" customHeight="1">
      <c r="A61" s="373">
        <f>IFERROR(VLOOKUP(H61,PartyStorage,2, FALSE),0)</f>
        <v>0</v>
      </c>
      <c r="B61" s="726"/>
      <c r="C61" s="714"/>
      <c r="D61" s="731"/>
      <c r="E61" s="713" t="str">
        <f t="shared" si="1"/>
        <v/>
      </c>
      <c r="F61" s="714"/>
      <c r="G61" s="727"/>
      <c r="H61" s="715"/>
      <c r="I61" s="716"/>
      <c r="M61" s="378"/>
      <c r="N61" s="346">
        <f>IFERROR(VLOOKUP(G61,Ch2_Storage,2),0)</f>
        <v>0</v>
      </c>
    </row>
    <row r="62" ht="18.75" customHeight="1">
      <c r="A62" s="373">
        <f>IFERROR(VLOOKUP(H62,PartyStorage,2, FALSE),0)</f>
        <v>0</v>
      </c>
      <c r="B62" s="728"/>
      <c r="C62" s="721"/>
      <c r="D62" s="729"/>
      <c r="E62" s="720" t="str">
        <f t="shared" si="1"/>
        <v/>
      </c>
      <c r="F62" s="721"/>
      <c r="G62" s="730"/>
      <c r="H62" s="723"/>
      <c r="I62" s="724"/>
      <c r="M62" s="725"/>
      <c r="N62" s="346">
        <f>IFERROR(VLOOKUP(G62,Ch2_Storage,2),0)</f>
        <v>0</v>
      </c>
    </row>
    <row r="63" ht="18.75" customHeight="1">
      <c r="A63" s="373">
        <f>IFERROR(VLOOKUP(H63,PartyStorage,2, FALSE),0)</f>
        <v>0</v>
      </c>
      <c r="B63" s="726"/>
      <c r="C63" s="714"/>
      <c r="D63" s="731"/>
      <c r="E63" s="713" t="str">
        <f t="shared" si="1"/>
        <v/>
      </c>
      <c r="F63" s="714"/>
      <c r="G63" s="727"/>
      <c r="H63" s="715"/>
      <c r="I63" s="716"/>
      <c r="M63" s="378"/>
      <c r="N63" s="346">
        <f>IFERROR(VLOOKUP(G63,Ch2_Storage,2),0)</f>
        <v>0</v>
      </c>
    </row>
    <row r="64" ht="18.75" customHeight="1">
      <c r="A64" s="373">
        <f>IFERROR(VLOOKUP(H64,PartyStorage,2, FALSE),0)</f>
        <v>0</v>
      </c>
      <c r="B64" s="728"/>
      <c r="C64" s="721"/>
      <c r="D64" s="729"/>
      <c r="E64" s="720" t="str">
        <f t="shared" si="1"/>
        <v/>
      </c>
      <c r="F64" s="721"/>
      <c r="G64" s="730"/>
      <c r="H64" s="723"/>
      <c r="I64" s="724"/>
      <c r="M64" s="725"/>
      <c r="N64" s="346">
        <f>IFERROR(VLOOKUP(G64,Ch2_Storage,2),0)</f>
        <v>0</v>
      </c>
    </row>
    <row r="65" ht="18.75" customHeight="1">
      <c r="A65" s="373">
        <f>IFERROR(VLOOKUP(H65,PartyStorage,2, FALSE),0)</f>
        <v>0</v>
      </c>
      <c r="B65" s="726"/>
      <c r="C65" s="714"/>
      <c r="D65" s="731"/>
      <c r="E65" s="713" t="str">
        <f t="shared" si="1"/>
        <v/>
      </c>
      <c r="F65" s="714"/>
      <c r="G65" s="727"/>
      <c r="H65" s="715"/>
      <c r="I65" s="716"/>
      <c r="M65" s="378"/>
      <c r="N65" s="346">
        <f>IFERROR(VLOOKUP(G65,Ch2_Storage,2),0)</f>
        <v>0</v>
      </c>
    </row>
    <row r="66" ht="18.75" customHeight="1">
      <c r="A66" s="373">
        <f>IFERROR(VLOOKUP(H66,PartyStorage,2, FALSE),0)</f>
        <v>0</v>
      </c>
      <c r="B66" s="728"/>
      <c r="C66" s="721"/>
      <c r="D66" s="729"/>
      <c r="E66" s="720" t="str">
        <f t="shared" si="1"/>
        <v/>
      </c>
      <c r="F66" s="721"/>
      <c r="G66" s="730"/>
      <c r="H66" s="723"/>
      <c r="I66" s="724"/>
      <c r="M66" s="725"/>
      <c r="N66" s="346">
        <f>IFERROR(VLOOKUP(G66,Ch2_Storage,2),0)</f>
        <v>0</v>
      </c>
    </row>
    <row r="67" ht="18.75" customHeight="1">
      <c r="A67" s="373">
        <f>IFERROR(VLOOKUP(H67,PartyStorage,2, FALSE),0)</f>
        <v>0</v>
      </c>
      <c r="B67" s="726"/>
      <c r="C67" s="714"/>
      <c r="D67" s="731"/>
      <c r="E67" s="713" t="str">
        <f t="shared" si="1"/>
        <v/>
      </c>
      <c r="F67" s="714"/>
      <c r="G67" s="727"/>
      <c r="H67" s="715"/>
      <c r="I67" s="716"/>
      <c r="M67" s="378"/>
      <c r="N67" s="346">
        <f>IFERROR(VLOOKUP(G67,Ch2_Storage,2),0)</f>
        <v>0</v>
      </c>
    </row>
    <row r="68" ht="18.75" customHeight="1">
      <c r="A68" s="373">
        <f>IFERROR(VLOOKUP(H68,PartyStorage,2, FALSE),0)</f>
        <v>0</v>
      </c>
      <c r="B68" s="728"/>
      <c r="C68" s="721"/>
      <c r="D68" s="729"/>
      <c r="E68" s="720" t="str">
        <f t="shared" si="1"/>
        <v/>
      </c>
      <c r="F68" s="721"/>
      <c r="G68" s="730"/>
      <c r="H68" s="723"/>
      <c r="I68" s="724"/>
      <c r="M68" s="725"/>
      <c r="N68" s="346">
        <f>IFERROR(VLOOKUP(G68,Ch2_Storage,2),0)</f>
        <v>0</v>
      </c>
    </row>
    <row r="69" ht="18.75" customHeight="1">
      <c r="A69" s="373">
        <f>IFERROR(VLOOKUP(H69,PartyStorage,2, FALSE),0)</f>
        <v>0</v>
      </c>
      <c r="B69" s="726"/>
      <c r="C69" s="714"/>
      <c r="D69" s="731"/>
      <c r="E69" s="713" t="str">
        <f t="shared" si="1"/>
        <v/>
      </c>
      <c r="F69" s="714"/>
      <c r="G69" s="727"/>
      <c r="H69" s="715"/>
      <c r="I69" s="716"/>
      <c r="M69" s="378"/>
      <c r="N69" s="346">
        <f>IFERROR(VLOOKUP(G69,Ch2_Storage,2),0)</f>
        <v>0</v>
      </c>
    </row>
    <row r="70" ht="18.75" customHeight="1">
      <c r="A70" s="373">
        <f>IFERROR(VLOOKUP(H70,PartyStorage,2, FALSE),0)</f>
        <v>0</v>
      </c>
      <c r="B70" s="728"/>
      <c r="C70" s="721"/>
      <c r="D70" s="729"/>
      <c r="E70" s="720" t="str">
        <f t="shared" si="1"/>
        <v/>
      </c>
      <c r="F70" s="721"/>
      <c r="G70" s="730"/>
      <c r="H70" s="723"/>
      <c r="I70" s="724"/>
      <c r="M70" s="725"/>
      <c r="N70" s="346">
        <f>IFERROR(VLOOKUP(G70,Ch2_Storage,2),0)</f>
        <v>0</v>
      </c>
    </row>
    <row r="71" ht="18.75" customHeight="1">
      <c r="A71" s="373">
        <f>IFERROR(VLOOKUP(H71,PartyStorage,2, FALSE),0)</f>
        <v>0</v>
      </c>
      <c r="B71" s="726"/>
      <c r="C71" s="714"/>
      <c r="D71" s="731"/>
      <c r="E71" s="713" t="str">
        <f t="shared" si="1"/>
        <v/>
      </c>
      <c r="F71" s="714"/>
      <c r="G71" s="727"/>
      <c r="H71" s="715"/>
      <c r="I71" s="716"/>
      <c r="M71" s="378"/>
      <c r="N71" s="346">
        <f>IFERROR(VLOOKUP(G71,Ch2_Storage,2),0)</f>
        <v>0</v>
      </c>
    </row>
    <row r="72" ht="18.75" customHeight="1">
      <c r="A72" s="373">
        <f>IFERROR(VLOOKUP(H72,PartyStorage,2, FALSE),0)</f>
        <v>0</v>
      </c>
      <c r="B72" s="728"/>
      <c r="C72" s="721"/>
      <c r="D72" s="729"/>
      <c r="E72" s="720" t="str">
        <f t="shared" si="1"/>
        <v/>
      </c>
      <c r="F72" s="721"/>
      <c r="G72" s="730"/>
      <c r="H72" s="723"/>
      <c r="I72" s="724"/>
      <c r="M72" s="725"/>
      <c r="N72" s="346">
        <f>IFERROR(VLOOKUP(G72,Ch2_Storage,2),0)</f>
        <v>0</v>
      </c>
    </row>
    <row r="73" ht="18.75" customHeight="1">
      <c r="A73" s="373">
        <f>IFERROR(VLOOKUP(H73,PartyStorage,2, FALSE),0)</f>
        <v>0</v>
      </c>
      <c r="B73" s="726"/>
      <c r="C73" s="714"/>
      <c r="D73" s="731"/>
      <c r="E73" s="713" t="str">
        <f t="shared" si="1"/>
        <v/>
      </c>
      <c r="F73" s="714"/>
      <c r="G73" s="727"/>
      <c r="H73" s="715"/>
      <c r="I73" s="716"/>
      <c r="M73" s="378"/>
      <c r="N73" s="346">
        <f>IFERROR(VLOOKUP(G73,Ch2_Storage,2),0)</f>
        <v>0</v>
      </c>
    </row>
    <row r="74" ht="18.75" customHeight="1">
      <c r="A74" s="373">
        <f>IFERROR(VLOOKUP(H74,PartyStorage,2, FALSE),0)</f>
        <v>0</v>
      </c>
      <c r="B74" s="728"/>
      <c r="C74" s="721"/>
      <c r="D74" s="729"/>
      <c r="E74" s="720" t="str">
        <f t="shared" si="1"/>
        <v/>
      </c>
      <c r="F74" s="721"/>
      <c r="G74" s="730"/>
      <c r="H74" s="723"/>
      <c r="I74" s="724"/>
      <c r="M74" s="725"/>
      <c r="N74" s="346">
        <f>IFERROR(VLOOKUP(G74,Ch2_Storage,2),0)</f>
        <v>0</v>
      </c>
    </row>
    <row r="75" ht="18.75" customHeight="1">
      <c r="A75" s="373">
        <f>IFERROR(VLOOKUP(H75,PartyStorage,2, FALSE),0)</f>
        <v>0</v>
      </c>
      <c r="B75" s="726"/>
      <c r="C75" s="714"/>
      <c r="D75" s="731"/>
      <c r="E75" s="713" t="str">
        <f t="shared" si="1"/>
        <v/>
      </c>
      <c r="F75" s="714"/>
      <c r="G75" s="727"/>
      <c r="H75" s="715"/>
      <c r="I75" s="716"/>
      <c r="M75" s="378"/>
      <c r="N75" s="346">
        <f>IFERROR(VLOOKUP(G75,Ch2_Storage,2),0)</f>
        <v>0</v>
      </c>
    </row>
    <row r="76" ht="18.75" customHeight="1">
      <c r="A76" s="373">
        <f>IFERROR(VLOOKUP(H76,PartyStorage,2, FALSE),0)</f>
        <v>0</v>
      </c>
      <c r="B76" s="728"/>
      <c r="C76" s="721"/>
      <c r="D76" s="729"/>
      <c r="E76" s="720" t="str">
        <f t="shared" si="1"/>
        <v/>
      </c>
      <c r="F76" s="721"/>
      <c r="G76" s="730"/>
      <c r="H76" s="723"/>
      <c r="I76" s="724"/>
      <c r="M76" s="725"/>
      <c r="N76" s="346">
        <f>IFERROR(VLOOKUP(G76,Ch2_Storage,2),0)</f>
        <v>0</v>
      </c>
    </row>
    <row r="77" ht="18.75" customHeight="1">
      <c r="A77" s="373">
        <f>IFERROR(VLOOKUP(H77,PartyStorage,2, FALSE),0)</f>
        <v>0</v>
      </c>
      <c r="B77" s="726"/>
      <c r="C77" s="714"/>
      <c r="D77" s="731"/>
      <c r="E77" s="713" t="str">
        <f t="shared" si="1"/>
        <v/>
      </c>
      <c r="F77" s="714"/>
      <c r="G77" s="727"/>
      <c r="H77" s="715"/>
      <c r="I77" s="716"/>
      <c r="M77" s="378"/>
      <c r="N77" s="346">
        <f>IFERROR(VLOOKUP(G77,Ch2_Storage,2),0)</f>
        <v>0</v>
      </c>
    </row>
    <row r="78" ht="18.75" customHeight="1">
      <c r="A78" s="373">
        <f>IFERROR(VLOOKUP(H78,PartyStorage,2, FALSE),0)</f>
        <v>0</v>
      </c>
      <c r="B78" s="728"/>
      <c r="C78" s="721"/>
      <c r="D78" s="729"/>
      <c r="E78" s="720" t="str">
        <f t="shared" si="1"/>
        <v/>
      </c>
      <c r="F78" s="721"/>
      <c r="G78" s="730"/>
      <c r="H78" s="723"/>
      <c r="I78" s="724"/>
      <c r="M78" s="725"/>
      <c r="N78" s="346">
        <f>IFERROR(VLOOKUP(G78,Ch2_Storage,2),0)</f>
        <v>0</v>
      </c>
    </row>
    <row r="79" ht="18.75" customHeight="1">
      <c r="A79" s="373">
        <f>IFERROR(VLOOKUP(H79,PartyStorage,2, FALSE),0)</f>
        <v>0</v>
      </c>
      <c r="B79" s="726"/>
      <c r="C79" s="714"/>
      <c r="D79" s="731"/>
      <c r="E79" s="713" t="str">
        <f t="shared" si="1"/>
        <v/>
      </c>
      <c r="F79" s="714"/>
      <c r="G79" s="727"/>
      <c r="H79" s="715"/>
      <c r="I79" s="716"/>
      <c r="M79" s="378"/>
      <c r="N79" s="346">
        <f>IFERROR(VLOOKUP(G79,Ch2_Storage,2),0)</f>
        <v>0</v>
      </c>
    </row>
    <row r="80" ht="18.75" customHeight="1">
      <c r="A80" s="373">
        <f>IFERROR(VLOOKUP(H80,PartyStorage,2, FALSE),0)</f>
        <v>0</v>
      </c>
      <c r="B80" s="728"/>
      <c r="C80" s="721"/>
      <c r="D80" s="729"/>
      <c r="E80" s="720" t="str">
        <f t="shared" si="1"/>
        <v/>
      </c>
      <c r="F80" s="721"/>
      <c r="G80" s="730"/>
      <c r="H80" s="723"/>
      <c r="I80" s="724"/>
      <c r="M80" s="725"/>
      <c r="N80" s="346">
        <f>IFERROR(VLOOKUP(G80,Ch2_Storage,2),0)</f>
        <v>0</v>
      </c>
    </row>
    <row r="81" ht="18.75" customHeight="1">
      <c r="A81" s="373">
        <f>IFERROR(VLOOKUP(H81,PartyStorage,2, FALSE),0)</f>
        <v>0</v>
      </c>
      <c r="B81" s="726"/>
      <c r="C81" s="714"/>
      <c r="D81" s="731"/>
      <c r="E81" s="713" t="str">
        <f t="shared" si="1"/>
        <v/>
      </c>
      <c r="F81" s="714"/>
      <c r="G81" s="727"/>
      <c r="H81" s="715"/>
      <c r="I81" s="716"/>
      <c r="M81" s="378"/>
      <c r="N81" s="346">
        <f>IFERROR(VLOOKUP(G81,Ch2_Storage,2),0)</f>
        <v>0</v>
      </c>
    </row>
    <row r="82" ht="18.75" customHeight="1">
      <c r="A82" s="373">
        <f>IFERROR(VLOOKUP(H82,PartyStorage,2, FALSE),0)</f>
        <v>0</v>
      </c>
      <c r="B82" s="728"/>
      <c r="C82" s="721"/>
      <c r="D82" s="729"/>
      <c r="E82" s="720" t="str">
        <f t="shared" si="1"/>
        <v/>
      </c>
      <c r="F82" s="721"/>
      <c r="G82" s="730"/>
      <c r="H82" s="723"/>
      <c r="I82" s="724"/>
      <c r="M82" s="725"/>
      <c r="N82" s="346">
        <f>IFERROR(VLOOKUP(G82,Ch2_Storage,2),0)</f>
        <v>0</v>
      </c>
    </row>
    <row r="83" ht="18.75" customHeight="1">
      <c r="A83" s="373">
        <f>IFERROR(VLOOKUP(H83,PartyStorage,2, FALSE),0)</f>
        <v>0</v>
      </c>
      <c r="B83" s="726"/>
      <c r="C83" s="714"/>
      <c r="D83" s="731"/>
      <c r="E83" s="713" t="str">
        <f t="shared" si="1"/>
        <v/>
      </c>
      <c r="F83" s="714"/>
      <c r="G83" s="727"/>
      <c r="H83" s="715"/>
      <c r="I83" s="716"/>
      <c r="M83" s="378"/>
      <c r="N83" s="346">
        <f>IFERROR(VLOOKUP(G83,Ch2_Storage,2),0)</f>
        <v>0</v>
      </c>
    </row>
    <row r="84" ht="18.75" customHeight="1">
      <c r="A84" s="373">
        <f>IFERROR(VLOOKUP(H84,PartyStorage,2, FALSE),0)</f>
        <v>0</v>
      </c>
      <c r="B84" s="728"/>
      <c r="C84" s="721"/>
      <c r="D84" s="729"/>
      <c r="E84" s="720" t="str">
        <f t="shared" si="1"/>
        <v/>
      </c>
      <c r="F84" s="721"/>
      <c r="G84" s="730"/>
      <c r="H84" s="723"/>
      <c r="I84" s="724"/>
      <c r="M84" s="725"/>
      <c r="N84" s="346">
        <f>IFERROR(VLOOKUP(G84,Ch2_Storage,2),0)</f>
        <v>0</v>
      </c>
    </row>
    <row r="85" ht="18.75" customHeight="1">
      <c r="A85" s="373">
        <f>IFERROR(VLOOKUP(H85,PartyStorage,2, FALSE),0)</f>
        <v>0</v>
      </c>
      <c r="B85" s="726"/>
      <c r="C85" s="714"/>
      <c r="D85" s="731"/>
      <c r="E85" s="713" t="str">
        <f t="shared" si="1"/>
        <v/>
      </c>
      <c r="F85" s="714"/>
      <c r="G85" s="727"/>
      <c r="H85" s="715"/>
      <c r="I85" s="716"/>
      <c r="M85" s="378"/>
      <c r="N85" s="346">
        <f>IFERROR(VLOOKUP(G85,Ch2_Storage,2),0)</f>
        <v>0</v>
      </c>
    </row>
    <row r="86" ht="18.75" customHeight="1">
      <c r="A86" s="373">
        <f>IFERROR(VLOOKUP(H86,PartyStorage,2, FALSE),0)</f>
        <v>0</v>
      </c>
      <c r="B86" s="728"/>
      <c r="C86" s="721"/>
      <c r="D86" s="729"/>
      <c r="E86" s="720" t="str">
        <f t="shared" si="1"/>
        <v/>
      </c>
      <c r="F86" s="721"/>
      <c r="G86" s="730"/>
      <c r="H86" s="723"/>
      <c r="I86" s="724"/>
      <c r="M86" s="725"/>
      <c r="N86" s="346">
        <f>IFERROR(VLOOKUP(G86,Ch2_Storage,2),0)</f>
        <v>0</v>
      </c>
    </row>
    <row r="87" ht="18.75" customHeight="1">
      <c r="A87" s="373">
        <f>IFERROR(VLOOKUP(H87,PartyStorage,2, FALSE),0)</f>
        <v>0</v>
      </c>
      <c r="B87" s="726"/>
      <c r="C87" s="714"/>
      <c r="D87" s="731"/>
      <c r="E87" s="713" t="str">
        <f t="shared" si="1"/>
        <v/>
      </c>
      <c r="F87" s="714"/>
      <c r="G87" s="727"/>
      <c r="H87" s="715"/>
      <c r="I87" s="716"/>
      <c r="M87" s="378"/>
      <c r="N87" s="346">
        <f>IFERROR(VLOOKUP(G87,Ch2_Storage,2),0)</f>
        <v>0</v>
      </c>
    </row>
    <row r="88" ht="18.75" customHeight="1">
      <c r="A88" s="373">
        <f>IFERROR(VLOOKUP(H88,PartyStorage,2, FALSE),0)</f>
        <v>0</v>
      </c>
      <c r="B88" s="728"/>
      <c r="C88" s="721"/>
      <c r="D88" s="729"/>
      <c r="E88" s="720" t="str">
        <f t="shared" si="1"/>
        <v/>
      </c>
      <c r="F88" s="721"/>
      <c r="G88" s="730"/>
      <c r="H88" s="723"/>
      <c r="I88" s="724"/>
      <c r="M88" s="725"/>
      <c r="N88" s="346">
        <f>IFERROR(VLOOKUP(G88,Ch2_Storage,2),0)</f>
        <v>0</v>
      </c>
    </row>
    <row r="89" ht="18.75" customHeight="1">
      <c r="A89" s="373">
        <f>IFERROR(VLOOKUP(H89,PartyStorage,2, FALSE),0)</f>
        <v>0</v>
      </c>
      <c r="B89" s="726"/>
      <c r="C89" s="714"/>
      <c r="D89" s="731"/>
      <c r="E89" s="713" t="str">
        <f t="shared" si="1"/>
        <v/>
      </c>
      <c r="F89" s="714"/>
      <c r="G89" s="727"/>
      <c r="H89" s="715"/>
      <c r="I89" s="716"/>
      <c r="M89" s="378"/>
      <c r="N89" s="346">
        <f>IFERROR(VLOOKUP(G89,Ch2_Storage,2),0)</f>
        <v>0</v>
      </c>
    </row>
    <row r="90" ht="18.75" customHeight="1">
      <c r="A90" s="373">
        <f>IFERROR(VLOOKUP(H90,PartyStorage,2, FALSE),0)</f>
        <v>0</v>
      </c>
      <c r="B90" s="728"/>
      <c r="C90" s="721"/>
      <c r="D90" s="729"/>
      <c r="E90" s="720" t="str">
        <f t="shared" si="1"/>
        <v/>
      </c>
      <c r="F90" s="721"/>
      <c r="G90" s="730"/>
      <c r="H90" s="723"/>
      <c r="I90" s="724"/>
      <c r="M90" s="725"/>
      <c r="N90" s="346">
        <f>IFERROR(VLOOKUP(G90,Ch2_Storage,2),0)</f>
        <v>0</v>
      </c>
    </row>
    <row r="91" ht="18.75" customHeight="1">
      <c r="A91" s="373">
        <f>IFERROR(VLOOKUP(H91,PartyStorage,2, FALSE),0)</f>
        <v>0</v>
      </c>
      <c r="B91" s="726"/>
      <c r="C91" s="714"/>
      <c r="D91" s="731"/>
      <c r="E91" s="713" t="str">
        <f t="shared" si="1"/>
        <v/>
      </c>
      <c r="F91" s="714"/>
      <c r="G91" s="727"/>
      <c r="H91" s="715"/>
      <c r="I91" s="716"/>
      <c r="M91" s="378"/>
      <c r="N91" s="346">
        <f>IFERROR(VLOOKUP(G91,Ch2_Storage,2),0)</f>
        <v>0</v>
      </c>
    </row>
    <row r="92" ht="18.75" customHeight="1">
      <c r="A92" s="373">
        <f>IFERROR(VLOOKUP(H92,PartyStorage,2, FALSE),0)</f>
        <v>0</v>
      </c>
      <c r="B92" s="728"/>
      <c r="C92" s="721"/>
      <c r="D92" s="729"/>
      <c r="E92" s="720" t="str">
        <f t="shared" si="1"/>
        <v/>
      </c>
      <c r="F92" s="721"/>
      <c r="G92" s="730"/>
      <c r="H92" s="723"/>
      <c r="I92" s="724"/>
      <c r="M92" s="725"/>
      <c r="N92" s="346">
        <f>IFERROR(VLOOKUP(G92,Ch2_Storage,2),0)</f>
        <v>0</v>
      </c>
    </row>
    <row r="93" ht="18.75" customHeight="1">
      <c r="A93" s="373">
        <f>IFERROR(VLOOKUP(H93,PartyStorage,2, FALSE),0)</f>
        <v>0</v>
      </c>
      <c r="B93" s="726"/>
      <c r="C93" s="714"/>
      <c r="D93" s="731"/>
      <c r="E93" s="713" t="str">
        <f t="shared" si="1"/>
        <v/>
      </c>
      <c r="F93" s="714"/>
      <c r="G93" s="727"/>
      <c r="H93" s="715"/>
      <c r="I93" s="716"/>
      <c r="M93" s="378"/>
      <c r="N93" s="346">
        <f>IFERROR(VLOOKUP(G93,Ch2_Storage,2),0)</f>
        <v>0</v>
      </c>
    </row>
    <row r="94" ht="18.75" customHeight="1">
      <c r="A94" s="373">
        <f>IFERROR(VLOOKUP(H94,PartyStorage,2, FALSE),0)</f>
        <v>0</v>
      </c>
      <c r="B94" s="728"/>
      <c r="C94" s="721"/>
      <c r="D94" s="729"/>
      <c r="E94" s="720" t="str">
        <f t="shared" si="1"/>
        <v/>
      </c>
      <c r="F94" s="721"/>
      <c r="G94" s="730"/>
      <c r="H94" s="723"/>
      <c r="I94" s="724"/>
      <c r="M94" s="725"/>
      <c r="N94" s="346">
        <f>IFERROR(VLOOKUP(G94,Ch2_Storage,2),0)</f>
        <v>0</v>
      </c>
    </row>
    <row r="95" ht="18.75" customHeight="1">
      <c r="A95" s="373">
        <f>IFERROR(VLOOKUP(H95,PartyStorage,2, FALSE),0)</f>
        <v>0</v>
      </c>
      <c r="B95" s="726"/>
      <c r="C95" s="714"/>
      <c r="D95" s="731"/>
      <c r="E95" s="713" t="str">
        <f t="shared" si="1"/>
        <v/>
      </c>
      <c r="F95" s="714"/>
      <c r="G95" s="727"/>
      <c r="H95" s="715"/>
      <c r="I95" s="716"/>
      <c r="M95" s="378"/>
      <c r="N95" s="346">
        <f>IFERROR(VLOOKUP(G95,Ch2_Storage,2),0)</f>
        <v>0</v>
      </c>
    </row>
    <row r="96" ht="18.75" customHeight="1">
      <c r="A96" s="373">
        <f>IFERROR(VLOOKUP(H96,PartyStorage,2, FALSE),0)</f>
        <v>0</v>
      </c>
      <c r="B96" s="728"/>
      <c r="C96" s="721"/>
      <c r="D96" s="729"/>
      <c r="E96" s="720" t="str">
        <f t="shared" si="1"/>
        <v/>
      </c>
      <c r="F96" s="721"/>
      <c r="G96" s="730"/>
      <c r="H96" s="723"/>
      <c r="I96" s="724"/>
      <c r="M96" s="725"/>
      <c r="N96" s="346">
        <f>IFERROR(VLOOKUP(G96,Ch2_Storage,2),0)</f>
        <v>0</v>
      </c>
    </row>
    <row r="97" ht="18.75" customHeight="1">
      <c r="A97" s="373">
        <f>IFERROR(VLOOKUP(H97,PartyStorage,2, FALSE),0)</f>
        <v>0</v>
      </c>
      <c r="B97" s="726"/>
      <c r="C97" s="714"/>
      <c r="D97" s="731"/>
      <c r="E97" s="713" t="str">
        <f t="shared" si="1"/>
        <v/>
      </c>
      <c r="F97" s="714"/>
      <c r="G97" s="727"/>
      <c r="H97" s="715"/>
      <c r="I97" s="716"/>
      <c r="M97" s="378"/>
      <c r="N97" s="346">
        <f>IFERROR(VLOOKUP(G97,Ch2_Storage,2),0)</f>
        <v>0</v>
      </c>
    </row>
    <row r="98" ht="18.75" customHeight="1">
      <c r="A98" s="373">
        <f>IFERROR(VLOOKUP(H98,PartyStorage,2, FALSE),0)</f>
        <v>0</v>
      </c>
      <c r="B98" s="728"/>
      <c r="C98" s="721"/>
      <c r="D98" s="729"/>
      <c r="E98" s="720" t="str">
        <f t="shared" si="1"/>
        <v/>
      </c>
      <c r="F98" s="721"/>
      <c r="G98" s="730"/>
      <c r="H98" s="723"/>
      <c r="I98" s="724"/>
      <c r="M98" s="725"/>
      <c r="N98" s="346">
        <f>IFERROR(VLOOKUP(G98,Ch2_Storage,2),0)</f>
        <v>0</v>
      </c>
    </row>
    <row r="99" ht="18.75" customHeight="1">
      <c r="A99" s="373">
        <f>IFERROR(VLOOKUP(H99,PartyStorage,2, FALSE),0)</f>
        <v>0</v>
      </c>
      <c r="B99" s="726"/>
      <c r="C99" s="714"/>
      <c r="D99" s="731"/>
      <c r="E99" s="713" t="str">
        <f t="shared" si="1"/>
        <v/>
      </c>
      <c r="F99" s="714"/>
      <c r="G99" s="727"/>
      <c r="H99" s="715"/>
      <c r="I99" s="716"/>
      <c r="M99" s="378"/>
      <c r="N99" s="346">
        <f>IFERROR(VLOOKUP(G99,Ch2_Storage,2),0)</f>
        <v>0</v>
      </c>
    </row>
    <row r="100" ht="18.75" customHeight="1">
      <c r="A100" s="373">
        <f>IFERROR(VLOOKUP(H100,PartyStorage,2, FALSE),0)</f>
        <v>0</v>
      </c>
      <c r="B100" s="728"/>
      <c r="C100" s="721"/>
      <c r="D100" s="729"/>
      <c r="E100" s="720" t="str">
        <f t="shared" si="1"/>
        <v/>
      </c>
      <c r="F100" s="721"/>
      <c r="G100" s="730"/>
      <c r="H100" s="723"/>
      <c r="I100" s="724"/>
      <c r="M100" s="725"/>
      <c r="N100" s="346">
        <f>IFERROR(VLOOKUP(G100,Ch2_Storage,2),0)</f>
        <v>0</v>
      </c>
    </row>
    <row r="101" ht="18.75" customHeight="1">
      <c r="A101" s="373">
        <f>IFERROR(VLOOKUP(H101,PartyStorage,2, FALSE),0)</f>
        <v>0</v>
      </c>
      <c r="B101" s="726"/>
      <c r="C101" s="714"/>
      <c r="D101" s="731"/>
      <c r="E101" s="713" t="str">
        <f t="shared" si="1"/>
        <v/>
      </c>
      <c r="F101" s="714"/>
      <c r="G101" s="727"/>
      <c r="H101" s="715"/>
      <c r="I101" s="716"/>
      <c r="M101" s="378"/>
      <c r="N101" s="346">
        <f>IFERROR(VLOOKUP(G101,Ch2_Storage,2),0)</f>
        <v>0</v>
      </c>
    </row>
    <row r="102" ht="18.75" customHeight="1">
      <c r="A102" s="373">
        <f>IFERROR(VLOOKUP(H102,PartyStorage,2, FALSE),0)</f>
        <v>0</v>
      </c>
      <c r="B102" s="728"/>
      <c r="C102" s="721"/>
      <c r="D102" s="729"/>
      <c r="E102" s="720" t="str">
        <f t="shared" si="1"/>
        <v/>
      </c>
      <c r="F102" s="721"/>
      <c r="G102" s="730"/>
      <c r="H102" s="723"/>
      <c r="I102" s="724"/>
      <c r="M102" s="725"/>
      <c r="N102" s="346">
        <f>IFERROR(VLOOKUP(G102,Ch2_Storage,2),0)</f>
        <v>0</v>
      </c>
    </row>
    <row r="103" ht="18.75" customHeight="1">
      <c r="A103" s="373">
        <f>IFERROR(VLOOKUP(H103,PartyStorage,2, FALSE),0)</f>
        <v>0</v>
      </c>
      <c r="B103" s="726"/>
      <c r="C103" s="714"/>
      <c r="D103" s="731"/>
      <c r="E103" s="713" t="str">
        <f t="shared" si="1"/>
        <v/>
      </c>
      <c r="F103" s="714"/>
      <c r="G103" s="727"/>
      <c r="H103" s="715"/>
      <c r="I103" s="716"/>
      <c r="M103" s="378"/>
      <c r="N103" s="346">
        <f>IFERROR(VLOOKUP(G103,Ch2_Storage,2),0)</f>
        <v>0</v>
      </c>
    </row>
    <row r="104" ht="18.75" customHeight="1">
      <c r="A104" s="373">
        <f>IFERROR(VLOOKUP(H104,PartyStorage,2, FALSE),0)</f>
        <v>0</v>
      </c>
      <c r="B104" s="728"/>
      <c r="C104" s="721"/>
      <c r="D104" s="729"/>
      <c r="E104" s="720" t="str">
        <f t="shared" si="1"/>
        <v/>
      </c>
      <c r="F104" s="721"/>
      <c r="G104" s="730"/>
      <c r="H104" s="723"/>
      <c r="I104" s="724"/>
      <c r="M104" s="725"/>
      <c r="N104" s="346">
        <f>IFERROR(VLOOKUP(G104,Ch2_Storage,2),0)</f>
        <v>0</v>
      </c>
    </row>
    <row r="105" ht="18.75" customHeight="1">
      <c r="A105" s="373">
        <f>IFERROR(VLOOKUP(H105,PartyStorage,2, FALSE),0)</f>
        <v>0</v>
      </c>
      <c r="B105" s="726"/>
      <c r="C105" s="714"/>
      <c r="D105" s="731"/>
      <c r="E105" s="713" t="str">
        <f t="shared" si="1"/>
        <v/>
      </c>
      <c r="F105" s="714"/>
      <c r="G105" s="727"/>
      <c r="H105" s="715"/>
      <c r="I105" s="716"/>
      <c r="M105" s="378"/>
      <c r="N105" s="346">
        <f>IFERROR(VLOOKUP(G105,Ch2_Storage,2),0)</f>
        <v>0</v>
      </c>
    </row>
    <row r="106" ht="18.75" customHeight="1">
      <c r="A106" s="373">
        <f>IFERROR(VLOOKUP(H106,PartyStorage,2, FALSE),0)</f>
        <v>0</v>
      </c>
      <c r="B106" s="728"/>
      <c r="C106" s="721"/>
      <c r="D106" s="729"/>
      <c r="E106" s="720" t="str">
        <f t="shared" si="1"/>
        <v/>
      </c>
      <c r="F106" s="721"/>
      <c r="G106" s="730"/>
      <c r="H106" s="723"/>
      <c r="I106" s="724"/>
      <c r="M106" s="725"/>
      <c r="N106" s="346">
        <f>IFERROR(VLOOKUP(G106,Ch2_Storage,2),0)</f>
        <v>0</v>
      </c>
    </row>
    <row r="107" ht="18.75" customHeight="1">
      <c r="A107" s="373">
        <f>IFERROR(VLOOKUP(H107,PartyStorage,2, FALSE),0)</f>
        <v>0</v>
      </c>
      <c r="B107" s="726"/>
      <c r="C107" s="714"/>
      <c r="D107" s="731"/>
      <c r="E107" s="713" t="str">
        <f t="shared" si="1"/>
        <v/>
      </c>
      <c r="F107" s="714"/>
      <c r="G107" s="727"/>
      <c r="H107" s="715"/>
      <c r="I107" s="716"/>
      <c r="M107" s="378"/>
      <c r="N107" s="346">
        <f>IFERROR(VLOOKUP(G107,Ch2_Storage,2),0)</f>
        <v>0</v>
      </c>
    </row>
    <row r="108" ht="18.75" customHeight="1">
      <c r="A108" s="373">
        <f>IFERROR(VLOOKUP(H108,PartyStorage,2, FALSE),0)</f>
        <v>0</v>
      </c>
      <c r="B108" s="728"/>
      <c r="C108" s="721"/>
      <c r="D108" s="729"/>
      <c r="E108" s="720" t="str">
        <f t="shared" si="1"/>
        <v/>
      </c>
      <c r="F108" s="721"/>
      <c r="G108" s="730"/>
      <c r="H108" s="723"/>
      <c r="I108" s="724"/>
      <c r="M108" s="725"/>
      <c r="N108" s="346">
        <f>IFERROR(VLOOKUP(G108,Ch2_Storage,2),0)</f>
        <v>0</v>
      </c>
    </row>
    <row r="109" ht="18.75" customHeight="1">
      <c r="A109" s="373">
        <f>IFERROR(VLOOKUP(H109,PartyStorage,2, FALSE),0)</f>
        <v>0</v>
      </c>
      <c r="B109" s="726"/>
      <c r="C109" s="714"/>
      <c r="D109" s="731"/>
      <c r="E109" s="713" t="str">
        <f t="shared" si="1"/>
        <v/>
      </c>
      <c r="F109" s="714"/>
      <c r="G109" s="727"/>
      <c r="H109" s="715"/>
      <c r="I109" s="716"/>
      <c r="M109" s="378"/>
      <c r="N109" s="346">
        <f>IFERROR(VLOOKUP(G109,Ch2_Storage,2),0)</f>
        <v>0</v>
      </c>
    </row>
    <row r="110" ht="18.75" customHeight="1">
      <c r="A110" s="373">
        <f>IFERROR(VLOOKUP(H110,PartyStorage,2, FALSE),0)</f>
        <v>0</v>
      </c>
      <c r="B110" s="728"/>
      <c r="C110" s="721"/>
      <c r="D110" s="729"/>
      <c r="E110" s="720" t="str">
        <f t="shared" si="1"/>
        <v/>
      </c>
      <c r="F110" s="721"/>
      <c r="G110" s="730"/>
      <c r="H110" s="723"/>
      <c r="I110" s="724"/>
      <c r="M110" s="725"/>
      <c r="N110" s="346">
        <f>IFERROR(VLOOKUP(G110,Ch2_Storage,2),0)</f>
        <v>0</v>
      </c>
    </row>
    <row r="111" ht="18.75" customHeight="1">
      <c r="A111" s="373">
        <f>IFERROR(VLOOKUP(H111,PartyStorage,2, FALSE),0)</f>
        <v>0</v>
      </c>
      <c r="B111" s="726"/>
      <c r="C111" s="714"/>
      <c r="D111" s="731"/>
      <c r="E111" s="713" t="str">
        <f t="shared" si="1"/>
        <v/>
      </c>
      <c r="F111" s="714"/>
      <c r="G111" s="727"/>
      <c r="H111" s="715"/>
      <c r="I111" s="716"/>
      <c r="M111" s="378"/>
      <c r="N111" s="346">
        <f>IFERROR(VLOOKUP(G111,Ch2_Storage,2),0)</f>
        <v>0</v>
      </c>
    </row>
    <row r="112" ht="18.75" customHeight="1">
      <c r="A112" s="373">
        <f>IFERROR(VLOOKUP(H112,PartyStorage,2, FALSE),0)</f>
        <v>0</v>
      </c>
      <c r="B112" s="728"/>
      <c r="C112" s="721"/>
      <c r="D112" s="729"/>
      <c r="E112" s="720" t="str">
        <f t="shared" si="1"/>
        <v/>
      </c>
      <c r="F112" s="721"/>
      <c r="G112" s="730"/>
      <c r="H112" s="723"/>
      <c r="I112" s="724"/>
      <c r="M112" s="725"/>
      <c r="N112" s="346">
        <f>IFERROR(VLOOKUP(G112,Ch2_Storage,2),0)</f>
        <v>0</v>
      </c>
    </row>
    <row r="113" ht="18.75" customHeight="1">
      <c r="A113" s="373">
        <f>IFERROR(VLOOKUP(H113,PartyStorage,2, FALSE),0)</f>
        <v>0</v>
      </c>
      <c r="B113" s="726"/>
      <c r="C113" s="714"/>
      <c r="D113" s="731"/>
      <c r="E113" s="713" t="str">
        <f t="shared" si="1"/>
        <v/>
      </c>
      <c r="F113" s="714"/>
      <c r="G113" s="727"/>
      <c r="H113" s="715"/>
      <c r="I113" s="716"/>
      <c r="M113" s="378"/>
      <c r="N113" s="346">
        <f>IFERROR(VLOOKUP(G113,Ch2_Storage,2),0)</f>
        <v>0</v>
      </c>
    </row>
    <row r="114" ht="18.75" customHeight="1">
      <c r="A114" s="373">
        <f>IFERROR(VLOOKUP(H114,PartyStorage,2, FALSE),0)</f>
        <v>0</v>
      </c>
      <c r="B114" s="728"/>
      <c r="C114" s="721"/>
      <c r="D114" s="729"/>
      <c r="E114" s="720" t="str">
        <f t="shared" si="1"/>
        <v/>
      </c>
      <c r="F114" s="721"/>
      <c r="G114" s="730"/>
      <c r="H114" s="723"/>
      <c r="I114" s="724"/>
      <c r="M114" s="725"/>
      <c r="N114" s="346">
        <f>IFERROR(VLOOKUP(G114,Ch2_Storage,2),0)</f>
        <v>0</v>
      </c>
    </row>
    <row r="115" ht="18.75" customHeight="1">
      <c r="A115" s="373">
        <f>IFERROR(VLOOKUP(H115,PartyStorage,2, FALSE),0)</f>
        <v>0</v>
      </c>
      <c r="B115" s="726"/>
      <c r="C115" s="714"/>
      <c r="D115" s="731"/>
      <c r="E115" s="713" t="str">
        <f t="shared" si="1"/>
        <v/>
      </c>
      <c r="F115" s="714"/>
      <c r="G115" s="727"/>
      <c r="H115" s="715"/>
      <c r="I115" s="716"/>
      <c r="M115" s="378"/>
      <c r="N115" s="346">
        <f>IFERROR(VLOOKUP(G115,Ch2_Storage,2),0)</f>
        <v>0</v>
      </c>
    </row>
    <row r="116" ht="18.75" customHeight="1">
      <c r="A116" s="373">
        <f>IFERROR(VLOOKUP(H116,PartyStorage,2, FALSE),0)</f>
        <v>0</v>
      </c>
      <c r="B116" s="728"/>
      <c r="C116" s="721"/>
      <c r="D116" s="729"/>
      <c r="E116" s="720" t="str">
        <f t="shared" si="1"/>
        <v/>
      </c>
      <c r="F116" s="721"/>
      <c r="G116" s="730"/>
      <c r="H116" s="723"/>
      <c r="I116" s="724"/>
      <c r="M116" s="725"/>
      <c r="N116" s="346">
        <f>IFERROR(VLOOKUP(G116,Ch2_Storage,2),0)</f>
        <v>0</v>
      </c>
    </row>
    <row r="117" ht="18.75" customHeight="1">
      <c r="A117" s="373">
        <f>IFERROR(VLOOKUP(H117,PartyStorage,2, FALSE),0)</f>
        <v>0</v>
      </c>
      <c r="B117" s="726"/>
      <c r="C117" s="714"/>
      <c r="D117" s="731"/>
      <c r="E117" s="713" t="str">
        <f t="shared" si="1"/>
        <v/>
      </c>
      <c r="F117" s="714"/>
      <c r="G117" s="727"/>
      <c r="H117" s="715"/>
      <c r="I117" s="716"/>
      <c r="M117" s="378"/>
      <c r="N117" s="346">
        <f>IFERROR(VLOOKUP(G117,Ch2_Storage,2),0)</f>
        <v>0</v>
      </c>
    </row>
    <row r="118" ht="18.75" customHeight="1">
      <c r="A118" s="373">
        <f>IFERROR(VLOOKUP(H118,PartyStorage,2, FALSE),0)</f>
        <v>0</v>
      </c>
      <c r="B118" s="728"/>
      <c r="C118" s="721"/>
      <c r="D118" s="729"/>
      <c r="E118" s="720" t="str">
        <f t="shared" si="1"/>
        <v/>
      </c>
      <c r="F118" s="721"/>
      <c r="G118" s="730"/>
      <c r="H118" s="723"/>
      <c r="I118" s="724"/>
      <c r="M118" s="725"/>
      <c r="N118" s="346">
        <f>IFERROR(VLOOKUP(G118,Ch2_Storage,2),0)</f>
        <v>0</v>
      </c>
    </row>
    <row r="119" ht="18.75" customHeight="1">
      <c r="A119" s="373">
        <f>IFERROR(VLOOKUP(H119,PartyStorage,2, FALSE),0)</f>
        <v>0</v>
      </c>
      <c r="B119" s="726"/>
      <c r="C119" s="714"/>
      <c r="D119" s="731"/>
      <c r="E119" s="713" t="str">
        <f t="shared" si="1"/>
        <v/>
      </c>
      <c r="F119" s="714"/>
      <c r="G119" s="727"/>
      <c r="H119" s="715"/>
      <c r="I119" s="716"/>
      <c r="M119" s="378"/>
      <c r="N119" s="346">
        <f>IFERROR(VLOOKUP(G119,Ch2_Storage,2),0)</f>
        <v>0</v>
      </c>
    </row>
    <row r="120" ht="18.75" customHeight="1">
      <c r="A120" s="373">
        <f>IFERROR(VLOOKUP(H120,PartyStorage,2, FALSE),0)</f>
        <v>0</v>
      </c>
      <c r="B120" s="728"/>
      <c r="C120" s="721"/>
      <c r="D120" s="729"/>
      <c r="E120" s="720" t="str">
        <f t="shared" si="1"/>
        <v/>
      </c>
      <c r="F120" s="721"/>
      <c r="G120" s="730"/>
      <c r="H120" s="723"/>
      <c r="I120" s="724"/>
      <c r="M120" s="725"/>
      <c r="N120" s="346">
        <f>IFERROR(VLOOKUP(G120,Ch2_Storage,2),0)</f>
        <v>0</v>
      </c>
    </row>
    <row r="121" ht="18.75" customHeight="1">
      <c r="A121" s="373">
        <f>IFERROR(VLOOKUP(H121,PartyStorage,2, FALSE),0)</f>
        <v>0</v>
      </c>
      <c r="B121" s="726"/>
      <c r="C121" s="714"/>
      <c r="D121" s="731"/>
      <c r="E121" s="713" t="str">
        <f t="shared" si="1"/>
        <v/>
      </c>
      <c r="F121" s="714"/>
      <c r="G121" s="727"/>
      <c r="H121" s="715"/>
      <c r="I121" s="716"/>
      <c r="M121" s="378"/>
      <c r="N121" s="346">
        <f>IFERROR(VLOOKUP(G121,Ch2_Storage,2),0)</f>
        <v>0</v>
      </c>
    </row>
    <row r="122" ht="18.75" customHeight="1">
      <c r="A122" s="373">
        <f>IFERROR(VLOOKUP(H122,PartyStorage,2, FALSE),0)</f>
        <v>0</v>
      </c>
      <c r="B122" s="728"/>
      <c r="C122" s="721"/>
      <c r="D122" s="729"/>
      <c r="E122" s="720" t="str">
        <f t="shared" si="1"/>
        <v/>
      </c>
      <c r="F122" s="721"/>
      <c r="G122" s="730"/>
      <c r="H122" s="723"/>
      <c r="I122" s="724"/>
      <c r="M122" s="725"/>
      <c r="N122" s="346">
        <f>IFERROR(VLOOKUP(G122,Ch2_Storage,2),0)</f>
        <v>0</v>
      </c>
    </row>
    <row r="123" ht="18.75" customHeight="1">
      <c r="A123" s="373">
        <f>IFERROR(VLOOKUP(H123,PartyStorage,2, FALSE),0)</f>
        <v>0</v>
      </c>
      <c r="B123" s="726"/>
      <c r="C123" s="714"/>
      <c r="D123" s="731"/>
      <c r="E123" s="713" t="str">
        <f t="shared" si="1"/>
        <v/>
      </c>
      <c r="F123" s="714"/>
      <c r="G123" s="727"/>
      <c r="H123" s="715"/>
      <c r="I123" s="716"/>
      <c r="M123" s="378"/>
      <c r="N123" s="346">
        <f>IFERROR(VLOOKUP(G123,Ch2_Storage,2),0)</f>
        <v>0</v>
      </c>
    </row>
    <row r="124" ht="18.75" customHeight="1">
      <c r="A124" s="373">
        <f>IFERROR(VLOOKUP(H124,PartyStorage,2, FALSE),0)</f>
        <v>0</v>
      </c>
      <c r="B124" s="728"/>
      <c r="C124" s="721"/>
      <c r="D124" s="729"/>
      <c r="E124" s="720" t="str">
        <f t="shared" si="1"/>
        <v/>
      </c>
      <c r="F124" s="721"/>
      <c r="G124" s="730"/>
      <c r="H124" s="723"/>
      <c r="I124" s="724"/>
      <c r="M124" s="725"/>
      <c r="N124" s="346">
        <f>IFERROR(VLOOKUP(G124,Ch2_Storage,2),0)</f>
        <v>0</v>
      </c>
    </row>
    <row r="125" ht="18.75" customHeight="1">
      <c r="A125" s="373">
        <f>IFERROR(VLOOKUP(H125,PartyStorage,2, FALSE),0)</f>
        <v>0</v>
      </c>
      <c r="B125" s="726"/>
      <c r="C125" s="714"/>
      <c r="D125" s="731"/>
      <c r="E125" s="713" t="str">
        <f t="shared" si="1"/>
        <v/>
      </c>
      <c r="F125" s="714"/>
      <c r="G125" s="727"/>
      <c r="H125" s="715"/>
      <c r="I125" s="716"/>
      <c r="M125" s="378"/>
      <c r="N125" s="346">
        <f>IFERROR(VLOOKUP(G125,Ch2_Storage,2),0)</f>
        <v>0</v>
      </c>
    </row>
    <row r="126" ht="18.75" customHeight="1">
      <c r="A126" s="373">
        <f>IFERROR(VLOOKUP(H126,PartyStorage,2, FALSE),0)</f>
        <v>0</v>
      </c>
      <c r="B126" s="728"/>
      <c r="C126" s="721"/>
      <c r="D126" s="729"/>
      <c r="E126" s="720" t="str">
        <f t="shared" si="1"/>
        <v/>
      </c>
      <c r="F126" s="721"/>
      <c r="G126" s="730"/>
      <c r="H126" s="723"/>
      <c r="I126" s="724"/>
      <c r="M126" s="725"/>
      <c r="N126" s="346">
        <f>IFERROR(VLOOKUP(G126,Ch2_Storage,2),0)</f>
        <v>0</v>
      </c>
    </row>
    <row r="127" ht="18.75" customHeight="1">
      <c r="A127" s="373">
        <f>IFERROR(VLOOKUP(H127,PartyStorage,2, FALSE),0)</f>
        <v>0</v>
      </c>
      <c r="B127" s="726"/>
      <c r="C127" s="714"/>
      <c r="D127" s="731"/>
      <c r="E127" s="713" t="str">
        <f t="shared" si="1"/>
        <v/>
      </c>
      <c r="F127" s="714"/>
      <c r="G127" s="727"/>
      <c r="H127" s="715"/>
      <c r="I127" s="716"/>
      <c r="M127" s="378"/>
      <c r="N127" s="346">
        <f>IFERROR(VLOOKUP(G127,Ch2_Storage,2),0)</f>
        <v>0</v>
      </c>
    </row>
    <row r="128" ht="18.75" customHeight="1">
      <c r="A128" s="373">
        <f>IFERROR(VLOOKUP(H128,PartyStorage,2, FALSE),0)</f>
        <v>0</v>
      </c>
      <c r="B128" s="728"/>
      <c r="C128" s="721"/>
      <c r="D128" s="729"/>
      <c r="E128" s="720" t="str">
        <f t="shared" si="1"/>
        <v/>
      </c>
      <c r="F128" s="721"/>
      <c r="G128" s="730"/>
      <c r="H128" s="723"/>
      <c r="I128" s="724"/>
      <c r="M128" s="725"/>
      <c r="N128" s="346">
        <f>IFERROR(VLOOKUP(G128,Ch2_Storage,2),0)</f>
        <v>0</v>
      </c>
    </row>
    <row r="129" ht="18.75" customHeight="1">
      <c r="A129" s="373">
        <f>IFERROR(VLOOKUP(H129,PartyStorage,2, FALSE),0)</f>
        <v>0</v>
      </c>
      <c r="B129" s="726"/>
      <c r="C129" s="714"/>
      <c r="D129" s="731"/>
      <c r="E129" s="713" t="str">
        <f t="shared" si="1"/>
        <v/>
      </c>
      <c r="F129" s="714"/>
      <c r="G129" s="727"/>
      <c r="H129" s="715"/>
      <c r="I129" s="716"/>
      <c r="M129" s="378"/>
      <c r="N129" s="346">
        <f>IFERROR(VLOOKUP(G129,Ch2_Storage,2),0)</f>
        <v>0</v>
      </c>
    </row>
    <row r="130" ht="18.75" customHeight="1">
      <c r="A130" s="373">
        <f>IFERROR(VLOOKUP(H130,PartyStorage,2, FALSE),0)</f>
        <v>0</v>
      </c>
      <c r="B130" s="728"/>
      <c r="C130" s="721"/>
      <c r="D130" s="729"/>
      <c r="E130" s="720" t="str">
        <f t="shared" si="1"/>
        <v/>
      </c>
      <c r="F130" s="721"/>
      <c r="G130" s="730"/>
      <c r="H130" s="723"/>
      <c r="I130" s="724"/>
      <c r="M130" s="725"/>
      <c r="N130" s="346">
        <f>IFERROR(VLOOKUP(G130,Ch2_Storage,2),0)</f>
        <v>0</v>
      </c>
    </row>
    <row r="131" ht="18.75" customHeight="1">
      <c r="A131" s="373">
        <f>IFERROR(VLOOKUP(H131,PartyStorage,2, FALSE),0)</f>
        <v>0</v>
      </c>
      <c r="B131" s="726"/>
      <c r="C131" s="714"/>
      <c r="D131" s="731"/>
      <c r="E131" s="713" t="str">
        <f t="shared" si="1"/>
        <v/>
      </c>
      <c r="F131" s="714"/>
      <c r="G131" s="727"/>
      <c r="H131" s="715"/>
      <c r="I131" s="716"/>
      <c r="M131" s="378"/>
      <c r="N131" s="346">
        <f>IFERROR(VLOOKUP(G131,Ch2_Storage,2),0)</f>
        <v>0</v>
      </c>
    </row>
    <row r="132" ht="18.75" customHeight="1">
      <c r="A132" s="373">
        <f>IFERROR(VLOOKUP(H132,PartyStorage,2, FALSE),0)</f>
        <v>0</v>
      </c>
      <c r="B132" s="728"/>
      <c r="C132" s="721"/>
      <c r="D132" s="729"/>
      <c r="E132" s="720" t="str">
        <f t="shared" si="1"/>
        <v/>
      </c>
      <c r="F132" s="721"/>
      <c r="G132" s="730"/>
      <c r="H132" s="723"/>
      <c r="I132" s="724"/>
      <c r="M132" s="725"/>
      <c r="N132" s="346">
        <f>IFERROR(VLOOKUP(G132,Ch2_Storage,2),0)</f>
        <v>0</v>
      </c>
    </row>
    <row r="133" ht="18.75" customHeight="1">
      <c r="A133" s="373">
        <f>IFERROR(VLOOKUP(H133,PartyStorage,2, FALSE),0)</f>
        <v>0</v>
      </c>
      <c r="B133" s="726"/>
      <c r="C133" s="714"/>
      <c r="D133" s="731"/>
      <c r="E133" s="713" t="str">
        <f t="shared" si="1"/>
        <v/>
      </c>
      <c r="F133" s="714"/>
      <c r="G133" s="727"/>
      <c r="H133" s="715"/>
      <c r="I133" s="716"/>
      <c r="M133" s="378"/>
      <c r="N133" s="346">
        <f>IFERROR(VLOOKUP(G133,Ch2_Storage,2),0)</f>
        <v>0</v>
      </c>
    </row>
    <row r="134" ht="18.75" customHeight="1">
      <c r="A134" s="373">
        <f>IFERROR(VLOOKUP(H134,PartyStorage,2, FALSE),0)</f>
        <v>0</v>
      </c>
      <c r="B134" s="728"/>
      <c r="C134" s="721"/>
      <c r="D134" s="729"/>
      <c r="E134" s="720" t="str">
        <f t="shared" si="1"/>
        <v/>
      </c>
      <c r="F134" s="721"/>
      <c r="G134" s="730"/>
      <c r="H134" s="723"/>
      <c r="I134" s="724"/>
      <c r="M134" s="725"/>
      <c r="N134" s="346">
        <f>IFERROR(VLOOKUP(G134,Ch2_Storage,2),0)</f>
        <v>0</v>
      </c>
    </row>
    <row r="135" ht="18.75" customHeight="1">
      <c r="A135" s="373">
        <f>IFERROR(VLOOKUP(H135,PartyStorage,2, FALSE),0)</f>
        <v>0</v>
      </c>
      <c r="B135" s="726"/>
      <c r="C135" s="714"/>
      <c r="D135" s="731"/>
      <c r="E135" s="713" t="str">
        <f t="shared" si="1"/>
        <v/>
      </c>
      <c r="F135" s="714"/>
      <c r="G135" s="727"/>
      <c r="H135" s="715"/>
      <c r="I135" s="716"/>
      <c r="M135" s="378"/>
      <c r="N135" s="346">
        <f>IFERROR(VLOOKUP(G135,Ch2_Storage,2),0)</f>
        <v>0</v>
      </c>
    </row>
    <row r="136" ht="18.75" customHeight="1">
      <c r="A136" s="373">
        <f>IFERROR(VLOOKUP(H136,PartyStorage,2, FALSE),0)</f>
        <v>0</v>
      </c>
      <c r="B136" s="728"/>
      <c r="C136" s="721"/>
      <c r="D136" s="729"/>
      <c r="E136" s="720" t="str">
        <f t="shared" si="1"/>
        <v/>
      </c>
      <c r="F136" s="721"/>
      <c r="G136" s="730"/>
      <c r="H136" s="723"/>
      <c r="I136" s="724"/>
      <c r="M136" s="725"/>
      <c r="N136" s="346">
        <f>IFERROR(VLOOKUP(G136,Ch2_Storage,2),0)</f>
        <v>0</v>
      </c>
    </row>
    <row r="137" ht="18.75" customHeight="1">
      <c r="A137" s="373">
        <f>IFERROR(VLOOKUP(H137,PartyStorage,2, FALSE),0)</f>
        <v>0</v>
      </c>
      <c r="B137" s="726"/>
      <c r="C137" s="714"/>
      <c r="D137" s="731"/>
      <c r="E137" s="713" t="str">
        <f t="shared" si="1"/>
        <v/>
      </c>
      <c r="F137" s="714"/>
      <c r="G137" s="727"/>
      <c r="H137" s="715"/>
      <c r="I137" s="716"/>
      <c r="M137" s="378"/>
      <c r="N137" s="346">
        <f>IFERROR(VLOOKUP(G137,Ch2_Storage,2),0)</f>
        <v>0</v>
      </c>
    </row>
    <row r="138" ht="18.75" customHeight="1">
      <c r="A138" s="373">
        <f>IFERROR(VLOOKUP(H138,PartyStorage,2, FALSE),0)</f>
        <v>0</v>
      </c>
      <c r="B138" s="728"/>
      <c r="C138" s="721"/>
      <c r="D138" s="729"/>
      <c r="E138" s="720" t="str">
        <f t="shared" si="1"/>
        <v/>
      </c>
      <c r="F138" s="721"/>
      <c r="G138" s="730"/>
      <c r="H138" s="723"/>
      <c r="I138" s="724"/>
      <c r="M138" s="725"/>
      <c r="N138" s="346">
        <f>IFERROR(VLOOKUP(G138,Ch2_Storage,2),0)</f>
        <v>0</v>
      </c>
    </row>
    <row r="139" ht="18.75" customHeight="1">
      <c r="A139" s="373">
        <f>IFERROR(VLOOKUP(H139,PartyStorage,2, FALSE),0)</f>
        <v>0</v>
      </c>
      <c r="B139" s="726"/>
      <c r="C139" s="714"/>
      <c r="D139" s="731"/>
      <c r="E139" s="713" t="str">
        <f t="shared" si="1"/>
        <v/>
      </c>
      <c r="F139" s="714"/>
      <c r="G139" s="727"/>
      <c r="H139" s="715"/>
      <c r="I139" s="716"/>
      <c r="M139" s="378"/>
      <c r="N139" s="346">
        <f>IFERROR(VLOOKUP(G139,Ch2_Storage,2),0)</f>
        <v>0</v>
      </c>
    </row>
    <row r="140" ht="18.75" customHeight="1">
      <c r="A140" s="373">
        <f>IFERROR(VLOOKUP(H140,PartyStorage,2, FALSE),0)</f>
        <v>0</v>
      </c>
      <c r="B140" s="728"/>
      <c r="C140" s="721"/>
      <c r="D140" s="729"/>
      <c r="E140" s="720" t="str">
        <f t="shared" si="1"/>
        <v/>
      </c>
      <c r="F140" s="721"/>
      <c r="G140" s="730"/>
      <c r="H140" s="723"/>
      <c r="I140" s="724"/>
      <c r="M140" s="725"/>
      <c r="N140" s="346">
        <f>IFERROR(VLOOKUP(G140,Ch2_Storage,2),0)</f>
        <v>0</v>
      </c>
    </row>
    <row r="141" ht="18.75" customHeight="1">
      <c r="A141" s="373">
        <f>IFERROR(VLOOKUP(H141,PartyStorage,2, FALSE),0)</f>
        <v>0</v>
      </c>
      <c r="B141" s="726"/>
      <c r="C141" s="714"/>
      <c r="D141" s="731"/>
      <c r="E141" s="713" t="str">
        <f t="shared" si="1"/>
        <v/>
      </c>
      <c r="F141" s="714"/>
      <c r="G141" s="727"/>
      <c r="H141" s="715"/>
      <c r="I141" s="716"/>
      <c r="M141" s="378"/>
      <c r="N141" s="346">
        <f>IFERROR(VLOOKUP(G141,Ch2_Storage,2),0)</f>
        <v>0</v>
      </c>
    </row>
    <row r="142" ht="18.75" customHeight="1">
      <c r="A142" s="373">
        <f>IFERROR(VLOOKUP(H142,PartyStorage,2, FALSE),0)</f>
        <v>0</v>
      </c>
      <c r="B142" s="728"/>
      <c r="C142" s="721"/>
      <c r="D142" s="729"/>
      <c r="E142" s="720" t="str">
        <f t="shared" si="1"/>
        <v/>
      </c>
      <c r="F142" s="721"/>
      <c r="G142" s="730"/>
      <c r="H142" s="723"/>
      <c r="I142" s="724"/>
      <c r="M142" s="725"/>
      <c r="N142" s="346">
        <f>IFERROR(VLOOKUP(G142,Ch2_Storage,2),0)</f>
        <v>0</v>
      </c>
    </row>
    <row r="143" ht="18.75" customHeight="1">
      <c r="A143" s="373">
        <f>IFERROR(VLOOKUP(H143,PartyStorage,2, FALSE),0)</f>
        <v>0</v>
      </c>
      <c r="B143" s="726"/>
      <c r="C143" s="714"/>
      <c r="D143" s="731"/>
      <c r="E143" s="713" t="str">
        <f t="shared" si="1"/>
        <v/>
      </c>
      <c r="F143" s="714"/>
      <c r="G143" s="727"/>
      <c r="H143" s="715"/>
      <c r="I143" s="716"/>
      <c r="M143" s="378"/>
      <c r="N143" s="346">
        <f>IFERROR(VLOOKUP(G143,Ch2_Storage,2),0)</f>
        <v>0</v>
      </c>
    </row>
    <row r="144" ht="18.75" customHeight="1">
      <c r="A144" s="373">
        <f>IFERROR(VLOOKUP(H144,PartyStorage,2, FALSE),0)</f>
        <v>0</v>
      </c>
      <c r="B144" s="728"/>
      <c r="C144" s="721"/>
      <c r="D144" s="729"/>
      <c r="E144" s="720" t="str">
        <f t="shared" si="1"/>
        <v/>
      </c>
      <c r="F144" s="721"/>
      <c r="G144" s="730"/>
      <c r="H144" s="723"/>
      <c r="I144" s="724"/>
      <c r="M144" s="725"/>
      <c r="N144" s="346">
        <f>IFERROR(VLOOKUP(G144,Ch2_Storage,2),0)</f>
        <v>0</v>
      </c>
    </row>
    <row r="145" ht="18.75" customHeight="1">
      <c r="A145" s="373">
        <f>IFERROR(VLOOKUP(H145,PartyStorage,2, FALSE),0)</f>
        <v>0</v>
      </c>
      <c r="B145" s="726"/>
      <c r="C145" s="714"/>
      <c r="D145" s="731"/>
      <c r="E145" s="713" t="str">
        <f t="shared" si="1"/>
        <v/>
      </c>
      <c r="F145" s="714"/>
      <c r="G145" s="727"/>
      <c r="H145" s="715"/>
      <c r="I145" s="716"/>
      <c r="M145" s="378"/>
      <c r="N145" s="346">
        <f>IFERROR(VLOOKUP(G145,Ch2_Storage,2),0)</f>
        <v>0</v>
      </c>
    </row>
    <row r="146" ht="18.75" customHeight="1">
      <c r="A146" s="373">
        <f>IFERROR(VLOOKUP(H146,PartyStorage,2, FALSE),0)</f>
        <v>0</v>
      </c>
      <c r="B146" s="728"/>
      <c r="C146" s="721"/>
      <c r="D146" s="729"/>
      <c r="E146" s="720" t="str">
        <f t="shared" si="1"/>
        <v/>
      </c>
      <c r="F146" s="721"/>
      <c r="G146" s="730"/>
      <c r="H146" s="723"/>
      <c r="I146" s="724"/>
      <c r="M146" s="725"/>
      <c r="N146" s="346">
        <f>IFERROR(VLOOKUP(G146,Ch2_Storage,2),0)</f>
        <v>0</v>
      </c>
    </row>
    <row r="147" ht="18.75" customHeight="1">
      <c r="A147" s="373">
        <f>IFERROR(VLOOKUP(H147,PartyStorage,2, FALSE),0)</f>
        <v>0</v>
      </c>
      <c r="B147" s="726"/>
      <c r="C147" s="714"/>
      <c r="D147" s="731"/>
      <c r="E147" s="713" t="str">
        <f t="shared" si="1"/>
        <v/>
      </c>
      <c r="F147" s="714"/>
      <c r="G147" s="727"/>
      <c r="H147" s="715"/>
      <c r="I147" s="716"/>
      <c r="M147" s="378"/>
      <c r="N147" s="346">
        <f>IFERROR(VLOOKUP(G147,Ch2_Storage,2),0)</f>
        <v>0</v>
      </c>
    </row>
    <row r="148" ht="18.75" customHeight="1">
      <c r="A148" s="373">
        <f>IFERROR(VLOOKUP(H148,PartyStorage,2, FALSE),0)</f>
        <v>0</v>
      </c>
      <c r="B148" s="728"/>
      <c r="C148" s="721"/>
      <c r="D148" s="729"/>
      <c r="E148" s="720" t="str">
        <f t="shared" si="1"/>
        <v/>
      </c>
      <c r="F148" s="721"/>
      <c r="G148" s="730"/>
      <c r="H148" s="723"/>
      <c r="I148" s="724"/>
      <c r="M148" s="725"/>
      <c r="N148" s="346">
        <f>IFERROR(VLOOKUP(G148,Ch2_Storage,2),0)</f>
        <v>0</v>
      </c>
    </row>
    <row r="149" ht="18.75" customHeight="1">
      <c r="A149" s="373">
        <f>IFERROR(VLOOKUP(H149,PartyStorage,2, FALSE),0)</f>
        <v>0</v>
      </c>
      <c r="B149" s="726"/>
      <c r="C149" s="714"/>
      <c r="D149" s="731"/>
      <c r="E149" s="713" t="str">
        <f t="shared" si="1"/>
        <v/>
      </c>
      <c r="F149" s="714"/>
      <c r="G149" s="727"/>
      <c r="H149" s="715"/>
      <c r="I149" s="716"/>
      <c r="M149" s="378"/>
      <c r="N149" s="346">
        <f>IFERROR(VLOOKUP(G149,Ch2_Storage,2),0)</f>
        <v>0</v>
      </c>
    </row>
    <row r="150" ht="18.75" customHeight="1">
      <c r="A150" s="373">
        <f>IFERROR(VLOOKUP(H150,PartyStorage,2, FALSE),0)</f>
        <v>0</v>
      </c>
      <c r="B150" s="728"/>
      <c r="C150" s="721"/>
      <c r="D150" s="729"/>
      <c r="E150" s="720" t="str">
        <f t="shared" si="1"/>
        <v/>
      </c>
      <c r="F150" s="721"/>
      <c r="G150" s="730"/>
      <c r="H150" s="723"/>
      <c r="I150" s="724"/>
      <c r="M150" s="725"/>
      <c r="N150" s="346">
        <f>IFERROR(VLOOKUP(G150,Ch2_Storage,2),0)</f>
        <v>0</v>
      </c>
    </row>
    <row r="151" ht="18.75" customHeight="1">
      <c r="A151" s="373">
        <f>IFERROR(VLOOKUP(H151,PartyStorage,2, FALSE),0)</f>
        <v>0</v>
      </c>
      <c r="B151" s="726"/>
      <c r="C151" s="714"/>
      <c r="D151" s="731"/>
      <c r="E151" s="713" t="str">
        <f t="shared" si="1"/>
        <v/>
      </c>
      <c r="F151" s="714"/>
      <c r="G151" s="727"/>
      <c r="H151" s="715"/>
      <c r="I151" s="716"/>
      <c r="M151" s="378"/>
      <c r="N151" s="346">
        <f>IFERROR(VLOOKUP(G151,Ch2_Storage,2),0)</f>
        <v>0</v>
      </c>
    </row>
    <row r="152" ht="18.75" customHeight="1">
      <c r="A152" s="373">
        <f>IFERROR(VLOOKUP(H152,PartyStorage,2, FALSE),0)</f>
        <v>0</v>
      </c>
      <c r="B152" s="728"/>
      <c r="C152" s="721"/>
      <c r="D152" s="729"/>
      <c r="E152" s="720" t="str">
        <f t="shared" si="1"/>
        <v/>
      </c>
      <c r="F152" s="721"/>
      <c r="G152" s="730"/>
      <c r="H152" s="723"/>
      <c r="I152" s="724"/>
      <c r="M152" s="725"/>
      <c r="N152" s="346">
        <f>IFERROR(VLOOKUP(G152,Ch2_Storage,2),0)</f>
        <v>0</v>
      </c>
    </row>
    <row r="153" ht="18.75" customHeight="1">
      <c r="A153" s="373">
        <f>IFERROR(VLOOKUP(H153,PartyStorage,2, FALSE),0)</f>
        <v>0</v>
      </c>
      <c r="B153" s="726"/>
      <c r="C153" s="714"/>
      <c r="D153" s="731"/>
      <c r="E153" s="713" t="str">
        <f t="shared" si="1"/>
        <v/>
      </c>
      <c r="F153" s="714"/>
      <c r="G153" s="727"/>
      <c r="H153" s="715"/>
      <c r="I153" s="716"/>
      <c r="M153" s="378"/>
      <c r="N153" s="346">
        <f>IFERROR(VLOOKUP(G153,Ch2_Storage,2),0)</f>
        <v>0</v>
      </c>
    </row>
    <row r="154" ht="18.75" customHeight="1">
      <c r="A154" s="373">
        <f>IFERROR(VLOOKUP(H154,PartyStorage,2, FALSE),0)</f>
        <v>0</v>
      </c>
      <c r="B154" s="728"/>
      <c r="C154" s="721"/>
      <c r="D154" s="729"/>
      <c r="E154" s="720" t="str">
        <f t="shared" si="1"/>
        <v/>
      </c>
      <c r="F154" s="721"/>
      <c r="G154" s="730"/>
      <c r="H154" s="723"/>
      <c r="I154" s="724"/>
      <c r="M154" s="725"/>
      <c r="N154" s="346">
        <f>IFERROR(VLOOKUP(G154,Ch2_Storage,2),0)</f>
        <v>0</v>
      </c>
    </row>
    <row r="155" ht="18.75" customHeight="1">
      <c r="A155" s="373">
        <f>IFERROR(VLOOKUP(H155,PartyStorage,2, FALSE),0)</f>
        <v>0</v>
      </c>
      <c r="B155" s="726"/>
      <c r="C155" s="714"/>
      <c r="D155" s="731"/>
      <c r="E155" s="713" t="str">
        <f t="shared" si="1"/>
        <v/>
      </c>
      <c r="F155" s="714"/>
      <c r="G155" s="727"/>
      <c r="H155" s="715"/>
      <c r="I155" s="716"/>
      <c r="M155" s="378"/>
      <c r="N155" s="346">
        <f>IFERROR(VLOOKUP(G155,Ch2_Storage,2),0)</f>
        <v>0</v>
      </c>
    </row>
    <row r="156" ht="18.75" customHeight="1">
      <c r="A156" s="373">
        <f>IFERROR(VLOOKUP(H156,PartyStorage,2, FALSE),0)</f>
        <v>0</v>
      </c>
      <c r="B156" s="728"/>
      <c r="C156" s="721"/>
      <c r="D156" s="729"/>
      <c r="E156" s="720" t="str">
        <f t="shared" si="1"/>
        <v/>
      </c>
      <c r="F156" s="721"/>
      <c r="G156" s="730"/>
      <c r="H156" s="723"/>
      <c r="I156" s="724"/>
      <c r="M156" s="725"/>
      <c r="N156" s="346">
        <f>IFERROR(VLOOKUP(G156,Ch2_Storage,2),0)</f>
        <v>0</v>
      </c>
    </row>
    <row r="157" ht="18.75" customHeight="1">
      <c r="A157" s="373">
        <f>IFERROR(VLOOKUP(H157,PartyStorage,2, FALSE),0)</f>
        <v>0</v>
      </c>
      <c r="B157" s="726"/>
      <c r="C157" s="714"/>
      <c r="D157" s="731"/>
      <c r="E157" s="713" t="str">
        <f t="shared" si="1"/>
        <v/>
      </c>
      <c r="F157" s="714"/>
      <c r="G157" s="727"/>
      <c r="H157" s="715"/>
      <c r="I157" s="716"/>
      <c r="M157" s="378"/>
      <c r="N157" s="346">
        <f>IFERROR(VLOOKUP(G157,Ch2_Storage,2),0)</f>
        <v>0</v>
      </c>
    </row>
    <row r="158" ht="18.75" customHeight="1">
      <c r="A158" s="373">
        <f>IFERROR(VLOOKUP(H158,PartyStorage,2, FALSE),0)</f>
        <v>0</v>
      </c>
      <c r="B158" s="728"/>
      <c r="C158" s="721"/>
      <c r="D158" s="729"/>
      <c r="E158" s="720" t="str">
        <f t="shared" si="1"/>
        <v/>
      </c>
      <c r="F158" s="721"/>
      <c r="G158" s="730"/>
      <c r="H158" s="723"/>
      <c r="I158" s="724"/>
      <c r="M158" s="725"/>
      <c r="N158" s="346">
        <f>IFERROR(VLOOKUP(G158,Ch2_Storage,2),0)</f>
        <v>0</v>
      </c>
    </row>
    <row r="159" ht="18.75" customHeight="1">
      <c r="A159" s="373">
        <f>IFERROR(VLOOKUP(H159,PartyStorage,2, FALSE),0)</f>
        <v>0</v>
      </c>
      <c r="B159" s="726"/>
      <c r="C159" s="714"/>
      <c r="D159" s="731"/>
      <c r="E159" s="713" t="str">
        <f t="shared" si="1"/>
        <v/>
      </c>
      <c r="F159" s="714"/>
      <c r="G159" s="727"/>
      <c r="H159" s="715"/>
      <c r="I159" s="716"/>
      <c r="M159" s="378"/>
      <c r="N159" s="346">
        <f>IFERROR(VLOOKUP(G159,Ch2_Storage,2),0)</f>
        <v>0</v>
      </c>
    </row>
    <row r="160" ht="18.75" customHeight="1">
      <c r="A160" s="373">
        <f>IFERROR(VLOOKUP(H160,PartyStorage,2, FALSE),0)</f>
        <v>0</v>
      </c>
      <c r="B160" s="728"/>
      <c r="C160" s="721"/>
      <c r="D160" s="729"/>
      <c r="E160" s="720" t="str">
        <f t="shared" si="1"/>
        <v/>
      </c>
      <c r="F160" s="721"/>
      <c r="G160" s="730"/>
      <c r="H160" s="723"/>
      <c r="I160" s="724"/>
      <c r="M160" s="725"/>
      <c r="N160" s="346">
        <f>IFERROR(VLOOKUP(G160,Ch2_Storage,2),0)</f>
        <v>0</v>
      </c>
    </row>
    <row r="161" ht="18.75" customHeight="1">
      <c r="A161" s="373">
        <f>IFERROR(VLOOKUP(H161,PartyStorage,2, FALSE),0)</f>
        <v>0</v>
      </c>
      <c r="B161" s="726"/>
      <c r="C161" s="714"/>
      <c r="D161" s="731"/>
      <c r="E161" s="713" t="str">
        <f t="shared" si="1"/>
        <v/>
      </c>
      <c r="F161" s="714"/>
      <c r="G161" s="727"/>
      <c r="H161" s="715"/>
      <c r="I161" s="716"/>
      <c r="M161" s="378"/>
      <c r="N161" s="346">
        <f>IFERROR(VLOOKUP(G161,Ch2_Storage,2),0)</f>
        <v>0</v>
      </c>
    </row>
    <row r="162" ht="18.75" customHeight="1">
      <c r="A162" s="373">
        <f>IFERROR(VLOOKUP(H162,PartyStorage,2, FALSE),0)</f>
        <v>0</v>
      </c>
      <c r="B162" s="728"/>
      <c r="C162" s="721"/>
      <c r="D162" s="729"/>
      <c r="E162" s="720" t="str">
        <f t="shared" si="1"/>
        <v/>
      </c>
      <c r="F162" s="721"/>
      <c r="G162" s="730"/>
      <c r="H162" s="723"/>
      <c r="I162" s="724"/>
      <c r="M162" s="725"/>
      <c r="N162" s="346">
        <f>IFERROR(VLOOKUP(G162,Ch2_Storage,2),0)</f>
        <v>0</v>
      </c>
    </row>
    <row r="163" ht="18.75" customHeight="1">
      <c r="A163" s="373">
        <f>IFERROR(VLOOKUP(H163,PartyStorage,2, FALSE),0)</f>
        <v>0</v>
      </c>
      <c r="B163" s="726"/>
      <c r="C163" s="714"/>
      <c r="D163" s="731"/>
      <c r="E163" s="713" t="str">
        <f t="shared" si="1"/>
        <v/>
      </c>
      <c r="F163" s="714"/>
      <c r="G163" s="727"/>
      <c r="H163" s="715"/>
      <c r="I163" s="716"/>
      <c r="M163" s="378"/>
      <c r="N163" s="346">
        <f>IFERROR(VLOOKUP(G163,Ch2_Storage,2),0)</f>
        <v>0</v>
      </c>
    </row>
    <row r="164" ht="18.75" customHeight="1">
      <c r="A164" s="373">
        <f>IFERROR(VLOOKUP(H164,PartyStorage,2, FALSE),0)</f>
        <v>0</v>
      </c>
      <c r="B164" s="728"/>
      <c r="C164" s="721"/>
      <c r="D164" s="729"/>
      <c r="E164" s="720" t="str">
        <f t="shared" si="1"/>
        <v/>
      </c>
      <c r="F164" s="721"/>
      <c r="G164" s="730"/>
      <c r="H164" s="723"/>
      <c r="I164" s="724"/>
      <c r="M164" s="725"/>
      <c r="N164" s="346">
        <f>IFERROR(VLOOKUP(G164,Ch2_Storage,2),0)</f>
        <v>0</v>
      </c>
    </row>
    <row r="165" ht="18.75" customHeight="1">
      <c r="A165" s="373">
        <f>IFERROR(VLOOKUP(H165,PartyStorage,2, FALSE),0)</f>
        <v>0</v>
      </c>
      <c r="B165" s="726"/>
      <c r="C165" s="714"/>
      <c r="D165" s="731"/>
      <c r="E165" s="713" t="str">
        <f t="shared" si="1"/>
        <v/>
      </c>
      <c r="F165" s="714"/>
      <c r="G165" s="727"/>
      <c r="H165" s="715"/>
      <c r="I165" s="716"/>
      <c r="M165" s="378"/>
      <c r="N165" s="346">
        <f>IFERROR(VLOOKUP(G165,Ch2_Storage,2),0)</f>
        <v>0</v>
      </c>
    </row>
    <row r="166" ht="18.75" customHeight="1">
      <c r="A166" s="373">
        <f>IFERROR(VLOOKUP(H166,PartyStorage,2, FALSE),0)</f>
        <v>0</v>
      </c>
      <c r="B166" s="728"/>
      <c r="C166" s="721"/>
      <c r="D166" s="729"/>
      <c r="E166" s="720" t="str">
        <f t="shared" si="1"/>
        <v/>
      </c>
      <c r="F166" s="721"/>
      <c r="G166" s="730"/>
      <c r="H166" s="723"/>
      <c r="I166" s="724"/>
      <c r="M166" s="725"/>
      <c r="N166" s="346">
        <f>IFERROR(VLOOKUP(G166,Ch2_Storage,2),0)</f>
        <v>0</v>
      </c>
    </row>
    <row r="167" ht="18.75" customHeight="1">
      <c r="A167" s="373">
        <f>IFERROR(VLOOKUP(H167,PartyStorage,2, FALSE),0)</f>
        <v>0</v>
      </c>
      <c r="B167" s="726"/>
      <c r="C167" s="714"/>
      <c r="D167" s="731"/>
      <c r="E167" s="713" t="str">
        <f t="shared" si="1"/>
        <v/>
      </c>
      <c r="F167" s="714"/>
      <c r="G167" s="727"/>
      <c r="H167" s="715"/>
      <c r="I167" s="716"/>
      <c r="M167" s="378"/>
      <c r="N167" s="346">
        <f>IFERROR(VLOOKUP(G167,Ch2_Storage,2),0)</f>
        <v>0</v>
      </c>
    </row>
    <row r="168" ht="18.75" customHeight="1">
      <c r="A168" s="373">
        <f>IFERROR(VLOOKUP(H168,PartyStorage,2, FALSE),0)</f>
        <v>0</v>
      </c>
      <c r="B168" s="728"/>
      <c r="C168" s="721"/>
      <c r="D168" s="729"/>
      <c r="E168" s="720" t="str">
        <f t="shared" si="1"/>
        <v/>
      </c>
      <c r="F168" s="721"/>
      <c r="G168" s="730"/>
      <c r="H168" s="723"/>
      <c r="I168" s="724"/>
      <c r="M168" s="725"/>
      <c r="N168" s="346">
        <f>IFERROR(VLOOKUP(G168,Ch2_Storage,2),0)</f>
        <v>0</v>
      </c>
    </row>
    <row r="169" ht="18.75" customHeight="1">
      <c r="A169" s="373">
        <f>IFERROR(VLOOKUP(H169,PartyStorage,2, FALSE),0)</f>
        <v>0</v>
      </c>
      <c r="B169" s="726"/>
      <c r="C169" s="714"/>
      <c r="D169" s="731"/>
      <c r="E169" s="713" t="str">
        <f t="shared" si="1"/>
        <v/>
      </c>
      <c r="F169" s="714"/>
      <c r="G169" s="727"/>
      <c r="H169" s="715"/>
      <c r="I169" s="716"/>
      <c r="M169" s="378"/>
      <c r="N169" s="346">
        <f>IFERROR(VLOOKUP(G169,Ch2_Storage,2),0)</f>
        <v>0</v>
      </c>
    </row>
    <row r="170" ht="18.75" customHeight="1">
      <c r="A170" s="373">
        <f>IFERROR(VLOOKUP(H170,PartyStorage,2, FALSE),0)</f>
        <v>0</v>
      </c>
      <c r="B170" s="728"/>
      <c r="C170" s="721"/>
      <c r="D170" s="729"/>
      <c r="E170" s="720" t="str">
        <f t="shared" si="1"/>
        <v/>
      </c>
      <c r="F170" s="721"/>
      <c r="G170" s="730"/>
      <c r="H170" s="723"/>
      <c r="I170" s="724"/>
      <c r="M170" s="725"/>
      <c r="N170" s="346">
        <f>IFERROR(VLOOKUP(G170,Ch2_Storage,2),0)</f>
        <v>0</v>
      </c>
    </row>
    <row r="171" ht="18.75" customHeight="1">
      <c r="A171" s="373">
        <f>IFERROR(VLOOKUP(H171,PartyStorage,2, FALSE),0)</f>
        <v>0</v>
      </c>
      <c r="B171" s="726"/>
      <c r="C171" s="714"/>
      <c r="D171" s="731"/>
      <c r="E171" s="713" t="str">
        <f t="shared" si="1"/>
        <v/>
      </c>
      <c r="F171" s="714"/>
      <c r="G171" s="727"/>
      <c r="H171" s="715"/>
      <c r="I171" s="716"/>
      <c r="M171" s="378"/>
      <c r="N171" s="346">
        <f>IFERROR(VLOOKUP(G171,Ch2_Storage,2),0)</f>
        <v>0</v>
      </c>
    </row>
    <row r="172" ht="18.75" customHeight="1">
      <c r="A172" s="373">
        <f>IFERROR(VLOOKUP(H172,PartyStorage,2, FALSE),0)</f>
        <v>0</v>
      </c>
      <c r="B172" s="728"/>
      <c r="C172" s="721"/>
      <c r="D172" s="729"/>
      <c r="E172" s="720" t="str">
        <f t="shared" si="1"/>
        <v/>
      </c>
      <c r="F172" s="721"/>
      <c r="G172" s="730"/>
      <c r="H172" s="723"/>
      <c r="I172" s="724"/>
      <c r="M172" s="725"/>
      <c r="N172" s="346">
        <f>IFERROR(VLOOKUP(G172,Ch2_Storage,2),0)</f>
        <v>0</v>
      </c>
    </row>
    <row r="173" ht="18.75" customHeight="1">
      <c r="A173" s="373">
        <f>IFERROR(VLOOKUP(H173,PartyStorage,2, FALSE),0)</f>
        <v>0</v>
      </c>
      <c r="B173" s="726"/>
      <c r="C173" s="714"/>
      <c r="D173" s="731"/>
      <c r="E173" s="713" t="str">
        <f t="shared" si="1"/>
        <v/>
      </c>
      <c r="F173" s="714"/>
      <c r="G173" s="727"/>
      <c r="H173" s="715"/>
      <c r="I173" s="716"/>
      <c r="M173" s="378"/>
      <c r="N173" s="346">
        <f>IFERROR(VLOOKUP(G173,Ch2_Storage,2),0)</f>
        <v>0</v>
      </c>
    </row>
    <row r="174" ht="18.75" customHeight="1">
      <c r="A174" s="373">
        <f>IFERROR(VLOOKUP(H174,PartyStorage,2, FALSE),0)</f>
        <v>0</v>
      </c>
      <c r="B174" s="728"/>
      <c r="C174" s="721"/>
      <c r="D174" s="729"/>
      <c r="E174" s="720" t="str">
        <f t="shared" si="1"/>
        <v/>
      </c>
      <c r="F174" s="721"/>
      <c r="G174" s="730"/>
      <c r="H174" s="723"/>
      <c r="I174" s="724"/>
      <c r="M174" s="725"/>
      <c r="N174" s="346">
        <f>IFERROR(VLOOKUP(G174,Ch2_Storage,2),0)</f>
        <v>0</v>
      </c>
    </row>
    <row r="175" ht="18.75" customHeight="1">
      <c r="A175" s="373">
        <f>IFERROR(VLOOKUP(H175,PartyStorage,2, FALSE),0)</f>
        <v>0</v>
      </c>
      <c r="B175" s="726"/>
      <c r="C175" s="714"/>
      <c r="D175" s="731"/>
      <c r="E175" s="713" t="str">
        <f t="shared" si="1"/>
        <v/>
      </c>
      <c r="F175" s="714"/>
      <c r="G175" s="727"/>
      <c r="H175" s="715"/>
      <c r="I175" s="716"/>
      <c r="M175" s="378"/>
      <c r="N175" s="346">
        <f>IFERROR(VLOOKUP(G175,Ch2_Storage,2),0)</f>
        <v>0</v>
      </c>
    </row>
    <row r="176" ht="18.75" customHeight="1">
      <c r="A176" s="373">
        <f>IFERROR(VLOOKUP(H176,PartyStorage,2, FALSE),0)</f>
        <v>0</v>
      </c>
      <c r="B176" s="728"/>
      <c r="C176" s="721"/>
      <c r="D176" s="729"/>
      <c r="E176" s="720" t="str">
        <f t="shared" si="1"/>
        <v/>
      </c>
      <c r="F176" s="721"/>
      <c r="G176" s="730"/>
      <c r="H176" s="723"/>
      <c r="I176" s="724"/>
      <c r="M176" s="725"/>
      <c r="N176" s="346">
        <f>IFERROR(VLOOKUP(G176,Ch2_Storage,2),0)</f>
        <v>0</v>
      </c>
    </row>
    <row r="177" ht="18.75" customHeight="1">
      <c r="A177" s="373">
        <f>IFERROR(VLOOKUP(H177,PartyStorage,2, FALSE),0)</f>
        <v>0</v>
      </c>
      <c r="B177" s="726"/>
      <c r="C177" s="714"/>
      <c r="D177" s="731"/>
      <c r="E177" s="713" t="str">
        <f t="shared" si="1"/>
        <v/>
      </c>
      <c r="F177" s="714"/>
      <c r="G177" s="727"/>
      <c r="H177" s="715"/>
      <c r="I177" s="716"/>
      <c r="M177" s="378"/>
      <c r="N177" s="346">
        <f>IFERROR(VLOOKUP(G177,Ch2_Storage,2),0)</f>
        <v>0</v>
      </c>
    </row>
    <row r="178" ht="18.75" customHeight="1">
      <c r="A178" s="373">
        <f>IFERROR(VLOOKUP(H178,PartyStorage,2, FALSE),0)</f>
        <v>0</v>
      </c>
      <c r="B178" s="728"/>
      <c r="C178" s="721"/>
      <c r="D178" s="729"/>
      <c r="E178" s="720" t="str">
        <f t="shared" si="1"/>
        <v/>
      </c>
      <c r="F178" s="721"/>
      <c r="G178" s="730"/>
      <c r="H178" s="723"/>
      <c r="I178" s="724"/>
      <c r="M178" s="725"/>
      <c r="N178" s="346">
        <f>IFERROR(VLOOKUP(G178,Ch2_Storage,2),0)</f>
        <v>0</v>
      </c>
    </row>
    <row r="179" ht="18.75" customHeight="1">
      <c r="A179" s="373">
        <f>IFERROR(VLOOKUP(H179,PartyStorage,2, FALSE),0)</f>
        <v>0</v>
      </c>
      <c r="B179" s="726"/>
      <c r="C179" s="714"/>
      <c r="D179" s="731"/>
      <c r="E179" s="713" t="str">
        <f t="shared" si="1"/>
        <v/>
      </c>
      <c r="F179" s="714"/>
      <c r="G179" s="727"/>
      <c r="H179" s="715"/>
      <c r="I179" s="716"/>
      <c r="M179" s="378"/>
      <c r="N179" s="346">
        <f>IFERROR(VLOOKUP(G179,Ch2_Storage,2),0)</f>
        <v>0</v>
      </c>
    </row>
    <row r="180" ht="18.75" customHeight="1">
      <c r="A180" s="373">
        <f>IFERROR(VLOOKUP(H180,PartyStorage,2, FALSE),0)</f>
        <v>0</v>
      </c>
      <c r="B180" s="728"/>
      <c r="C180" s="721"/>
      <c r="D180" s="729"/>
      <c r="E180" s="720" t="str">
        <f t="shared" si="1"/>
        <v/>
      </c>
      <c r="F180" s="721"/>
      <c r="G180" s="730"/>
      <c r="H180" s="723"/>
      <c r="I180" s="724"/>
      <c r="M180" s="725"/>
      <c r="N180" s="346">
        <f>IFERROR(VLOOKUP(G180,Ch2_Storage,2),0)</f>
        <v>0</v>
      </c>
    </row>
    <row r="181" ht="18.75" customHeight="1">
      <c r="A181" s="373">
        <f>IFERROR(VLOOKUP(H181,PartyStorage,2, FALSE),0)</f>
        <v>0</v>
      </c>
      <c r="B181" s="726"/>
      <c r="C181" s="714"/>
      <c r="D181" s="731"/>
      <c r="E181" s="713" t="str">
        <f t="shared" si="1"/>
        <v/>
      </c>
      <c r="F181" s="714"/>
      <c r="G181" s="727"/>
      <c r="H181" s="715"/>
      <c r="I181" s="716"/>
      <c r="M181" s="378"/>
      <c r="N181" s="346">
        <f>IFERROR(VLOOKUP(G181,Ch2_Storage,2),0)</f>
        <v>0</v>
      </c>
    </row>
    <row r="182" ht="18.75" customHeight="1">
      <c r="A182" s="373">
        <f>IFERROR(VLOOKUP(H182,PartyStorage,2, FALSE),0)</f>
        <v>0</v>
      </c>
      <c r="B182" s="728"/>
      <c r="C182" s="721"/>
      <c r="D182" s="729"/>
      <c r="E182" s="720" t="str">
        <f t="shared" si="1"/>
        <v/>
      </c>
      <c r="F182" s="721"/>
      <c r="G182" s="730"/>
      <c r="H182" s="723"/>
      <c r="I182" s="724"/>
      <c r="M182" s="725"/>
      <c r="N182" s="346">
        <f>IFERROR(VLOOKUP(G182,Ch2_Storage,2),0)</f>
        <v>0</v>
      </c>
    </row>
    <row r="183" ht="18.75" customHeight="1">
      <c r="A183" s="373">
        <f>IFERROR(VLOOKUP(H183,PartyStorage,2, FALSE),0)</f>
        <v>0</v>
      </c>
      <c r="B183" s="726"/>
      <c r="C183" s="714"/>
      <c r="D183" s="731"/>
      <c r="E183" s="713" t="str">
        <f t="shared" si="1"/>
        <v/>
      </c>
      <c r="F183" s="714"/>
      <c r="G183" s="727"/>
      <c r="H183" s="715"/>
      <c r="I183" s="716"/>
      <c r="M183" s="378"/>
      <c r="N183" s="346">
        <f>IFERROR(VLOOKUP(G183,Ch2_Storage,2),0)</f>
        <v>0</v>
      </c>
    </row>
    <row r="184" ht="18.75" customHeight="1">
      <c r="A184" s="373">
        <f>IFERROR(VLOOKUP(H184,PartyStorage,2, FALSE),0)</f>
        <v>0</v>
      </c>
      <c r="B184" s="728"/>
      <c r="C184" s="721"/>
      <c r="D184" s="729"/>
      <c r="E184" s="720" t="str">
        <f t="shared" si="1"/>
        <v/>
      </c>
      <c r="F184" s="721"/>
      <c r="G184" s="730"/>
      <c r="H184" s="723"/>
      <c r="I184" s="724"/>
      <c r="M184" s="725"/>
      <c r="N184" s="346">
        <f>IFERROR(VLOOKUP(G184,Ch2_Storage,2),0)</f>
        <v>0</v>
      </c>
    </row>
    <row r="185" ht="18.75" customHeight="1">
      <c r="A185" s="373">
        <f>IFERROR(VLOOKUP(H185,PartyStorage,2, FALSE),0)</f>
        <v>0</v>
      </c>
      <c r="B185" s="726"/>
      <c r="C185" s="714"/>
      <c r="D185" s="731"/>
      <c r="E185" s="713" t="str">
        <f t="shared" si="1"/>
        <v/>
      </c>
      <c r="F185" s="714"/>
      <c r="G185" s="727"/>
      <c r="H185" s="715"/>
      <c r="I185" s="716"/>
      <c r="M185" s="378"/>
      <c r="N185" s="346">
        <f>IFERROR(VLOOKUP(G185,Ch2_Storage,2),0)</f>
        <v>0</v>
      </c>
    </row>
    <row r="186" ht="18.75" customHeight="1">
      <c r="A186" s="373">
        <f>IFERROR(VLOOKUP(H186,PartyStorage,2, FALSE),0)</f>
        <v>0</v>
      </c>
      <c r="B186" s="728"/>
      <c r="C186" s="721"/>
      <c r="D186" s="729"/>
      <c r="E186" s="720" t="str">
        <f t="shared" si="1"/>
        <v/>
      </c>
      <c r="F186" s="721"/>
      <c r="G186" s="730"/>
      <c r="H186" s="723"/>
      <c r="I186" s="724"/>
      <c r="M186" s="725"/>
      <c r="N186" s="346">
        <f>IFERROR(VLOOKUP(G186,Ch2_Storage,2),0)</f>
        <v>0</v>
      </c>
    </row>
    <row r="187" ht="18.75" customHeight="1">
      <c r="A187" s="373">
        <f>IFERROR(VLOOKUP(H187,PartyStorage,2, FALSE),0)</f>
        <v>0</v>
      </c>
      <c r="B187" s="726"/>
      <c r="C187" s="714"/>
      <c r="D187" s="731"/>
      <c r="E187" s="713" t="str">
        <f t="shared" si="1"/>
        <v/>
      </c>
      <c r="F187" s="714"/>
      <c r="G187" s="727"/>
      <c r="H187" s="715"/>
      <c r="I187" s="716"/>
      <c r="M187" s="378"/>
      <c r="N187" s="346">
        <f>IFERROR(VLOOKUP(G187,Ch2_Storage,2),0)</f>
        <v>0</v>
      </c>
    </row>
    <row r="188" ht="18.75" customHeight="1">
      <c r="A188" s="373">
        <f>IFERROR(VLOOKUP(H188,PartyStorage,2, FALSE),0)</f>
        <v>0</v>
      </c>
      <c r="B188" s="728"/>
      <c r="C188" s="721"/>
      <c r="D188" s="729"/>
      <c r="E188" s="720" t="str">
        <f t="shared" si="1"/>
        <v/>
      </c>
      <c r="F188" s="721"/>
      <c r="G188" s="730"/>
      <c r="H188" s="723"/>
      <c r="I188" s="724"/>
      <c r="M188" s="725"/>
      <c r="N188" s="346">
        <f>IFERROR(VLOOKUP(G188,Ch2_Storage,2),0)</f>
        <v>0</v>
      </c>
    </row>
    <row r="189" ht="18.75" customHeight="1">
      <c r="A189" s="373">
        <f>IFERROR(VLOOKUP(H189,PartyStorage,2, FALSE),0)</f>
        <v>0</v>
      </c>
      <c r="B189" s="726"/>
      <c r="C189" s="714"/>
      <c r="D189" s="731"/>
      <c r="E189" s="713" t="str">
        <f t="shared" si="1"/>
        <v/>
      </c>
      <c r="F189" s="714"/>
      <c r="G189" s="727"/>
      <c r="H189" s="715"/>
      <c r="I189" s="716"/>
      <c r="M189" s="378"/>
      <c r="N189" s="346">
        <f>IFERROR(VLOOKUP(G189,Ch2_Storage,2),0)</f>
        <v>0</v>
      </c>
    </row>
    <row r="190" ht="18.75" customHeight="1">
      <c r="A190" s="373">
        <f>IFERROR(VLOOKUP(H190,PartyStorage,2, FALSE),0)</f>
        <v>0</v>
      </c>
      <c r="B190" s="728"/>
      <c r="C190" s="721"/>
      <c r="D190" s="729"/>
      <c r="E190" s="720" t="str">
        <f t="shared" si="1"/>
        <v/>
      </c>
      <c r="F190" s="721"/>
      <c r="G190" s="730"/>
      <c r="H190" s="723"/>
      <c r="I190" s="724"/>
      <c r="M190" s="725"/>
      <c r="N190" s="346">
        <f>IFERROR(VLOOKUP(G190,Ch2_Storage,2),0)</f>
        <v>0</v>
      </c>
    </row>
    <row r="191" ht="18.75" customHeight="1">
      <c r="A191" s="373">
        <f>IFERROR(VLOOKUP(H191,PartyStorage,2, FALSE),0)</f>
        <v>0</v>
      </c>
      <c r="B191" s="726"/>
      <c r="C191" s="714"/>
      <c r="D191" s="731"/>
      <c r="E191" s="713" t="str">
        <f t="shared" si="1"/>
        <v/>
      </c>
      <c r="F191" s="714"/>
      <c r="G191" s="727"/>
      <c r="H191" s="715"/>
      <c r="I191" s="716"/>
      <c r="M191" s="378"/>
      <c r="N191" s="346">
        <f>IFERROR(VLOOKUP(G191,Ch2_Storage,2),0)</f>
        <v>0</v>
      </c>
    </row>
    <row r="192" ht="18.75" customHeight="1">
      <c r="A192" s="373">
        <f>IFERROR(VLOOKUP(H192,PartyStorage,2, FALSE),0)</f>
        <v>0</v>
      </c>
      <c r="B192" s="728"/>
      <c r="C192" s="721"/>
      <c r="D192" s="729"/>
      <c r="E192" s="720" t="str">
        <f t="shared" si="1"/>
        <v/>
      </c>
      <c r="F192" s="721"/>
      <c r="G192" s="730"/>
      <c r="H192" s="723"/>
      <c r="I192" s="724"/>
      <c r="M192" s="725"/>
      <c r="N192" s="346">
        <f>IFERROR(VLOOKUP(G192,Ch2_Storage,2),0)</f>
        <v>0</v>
      </c>
    </row>
    <row r="193" ht="18.75" customHeight="1">
      <c r="A193" s="373">
        <f>IFERROR(VLOOKUP(H193,PartyStorage,2, FALSE),0)</f>
        <v>0</v>
      </c>
      <c r="B193" s="726"/>
      <c r="C193" s="714"/>
      <c r="D193" s="731"/>
      <c r="E193" s="713" t="str">
        <f t="shared" si="1"/>
        <v/>
      </c>
      <c r="F193" s="714"/>
      <c r="G193" s="727"/>
      <c r="H193" s="715"/>
      <c r="I193" s="716"/>
      <c r="M193" s="378"/>
      <c r="N193" s="346">
        <f>IFERROR(VLOOKUP(G193,Ch2_Storage,2),0)</f>
        <v>0</v>
      </c>
    </row>
    <row r="194" ht="18.75" customHeight="1">
      <c r="A194" s="373">
        <f>IFERROR(VLOOKUP(H194,PartyStorage,2, FALSE),0)</f>
        <v>0</v>
      </c>
      <c r="B194" s="728"/>
      <c r="C194" s="721"/>
      <c r="D194" s="729"/>
      <c r="E194" s="720" t="str">
        <f t="shared" si="1"/>
        <v/>
      </c>
      <c r="F194" s="721"/>
      <c r="G194" s="730"/>
      <c r="H194" s="723"/>
      <c r="I194" s="724"/>
      <c r="M194" s="725"/>
      <c r="N194" s="346">
        <f>IFERROR(VLOOKUP(G194,Ch2_Storage,2),0)</f>
        <v>0</v>
      </c>
    </row>
    <row r="195" ht="18.75" customHeight="1">
      <c r="A195" s="373">
        <f>IFERROR(VLOOKUP(H195,PartyStorage,2, FALSE),0)</f>
        <v>0</v>
      </c>
      <c r="B195" s="726"/>
      <c r="C195" s="714"/>
      <c r="D195" s="731"/>
      <c r="E195" s="713" t="str">
        <f t="shared" si="1"/>
        <v/>
      </c>
      <c r="F195" s="714"/>
      <c r="G195" s="727"/>
      <c r="H195" s="715"/>
      <c r="I195" s="716"/>
      <c r="M195" s="378"/>
      <c r="N195" s="346">
        <f>IFERROR(VLOOKUP(G195,Ch2_Storage,2),0)</f>
        <v>0</v>
      </c>
    </row>
    <row r="196" ht="18.75" customHeight="1">
      <c r="A196" s="373">
        <f>IFERROR(VLOOKUP(H196,PartyStorage,2, FALSE),0)</f>
        <v>0</v>
      </c>
      <c r="B196" s="728"/>
      <c r="C196" s="721"/>
      <c r="D196" s="729"/>
      <c r="E196" s="720" t="str">
        <f t="shared" si="1"/>
        <v/>
      </c>
      <c r="F196" s="721"/>
      <c r="G196" s="730"/>
      <c r="H196" s="723"/>
      <c r="I196" s="724"/>
      <c r="M196" s="725"/>
      <c r="N196" s="346">
        <f>IFERROR(VLOOKUP(G196,Ch2_Storage,2),0)</f>
        <v>0</v>
      </c>
    </row>
    <row r="197" ht="18.75" customHeight="1">
      <c r="A197" s="373">
        <f>IFERROR(VLOOKUP(H197,PartyStorage,2, FALSE),0)</f>
        <v>0</v>
      </c>
      <c r="B197" s="726"/>
      <c r="C197" s="714"/>
      <c r="D197" s="731"/>
      <c r="E197" s="713" t="str">
        <f t="shared" si="1"/>
        <v/>
      </c>
      <c r="F197" s="714"/>
      <c r="G197" s="727"/>
      <c r="H197" s="715"/>
      <c r="I197" s="716"/>
      <c r="M197" s="378"/>
      <c r="N197" s="346">
        <f>IFERROR(VLOOKUP(G197,Ch2_Storage,2),0)</f>
        <v>0</v>
      </c>
    </row>
    <row r="198" ht="18.75" customHeight="1">
      <c r="A198" s="373">
        <f>IFERROR(VLOOKUP(H198,PartyStorage,2, FALSE),0)</f>
        <v>0</v>
      </c>
      <c r="B198" s="728"/>
      <c r="C198" s="721"/>
      <c r="D198" s="729"/>
      <c r="E198" s="720" t="str">
        <f t="shared" si="1"/>
        <v/>
      </c>
      <c r="F198" s="721"/>
      <c r="G198" s="730"/>
      <c r="H198" s="723"/>
      <c r="I198" s="724"/>
      <c r="M198" s="725"/>
      <c r="N198" s="346">
        <f>IFERROR(VLOOKUP(G198,Ch2_Storage,2),0)</f>
        <v>0</v>
      </c>
    </row>
    <row r="199" ht="18.75" customHeight="1">
      <c r="A199" s="373">
        <f>IFERROR(VLOOKUP(H199,PartyStorage,2, FALSE),0)</f>
        <v>0</v>
      </c>
      <c r="B199" s="726"/>
      <c r="C199" s="714"/>
      <c r="D199" s="731"/>
      <c r="E199" s="713" t="str">
        <f t="shared" si="1"/>
        <v/>
      </c>
      <c r="F199" s="714"/>
      <c r="G199" s="727"/>
      <c r="H199" s="715"/>
      <c r="I199" s="716"/>
      <c r="M199" s="378"/>
      <c r="N199" s="346">
        <f>IFERROR(VLOOKUP(G199,Ch2_Storage,2),0)</f>
        <v>0</v>
      </c>
    </row>
    <row r="200" ht="18.75" customHeight="1">
      <c r="A200" s="373">
        <f>IFERROR(VLOOKUP(H200,PartyStorage,2, FALSE),0)</f>
        <v>0</v>
      </c>
      <c r="B200" s="728"/>
      <c r="C200" s="721"/>
      <c r="D200" s="729"/>
      <c r="E200" s="720" t="str">
        <f t="shared" si="1"/>
        <v/>
      </c>
      <c r="F200" s="721"/>
      <c r="G200" s="730"/>
      <c r="H200" s="723"/>
      <c r="I200" s="724"/>
      <c r="M200" s="725"/>
      <c r="N200" s="346">
        <f>IFERROR(VLOOKUP(G200,Ch2_Storage,2),0)</f>
        <v>0</v>
      </c>
    </row>
    <row r="201" ht="18.75" customHeight="1">
      <c r="A201" s="373">
        <f>IFERROR(VLOOKUP(H201,PartyStorage,2, FALSE),0)</f>
        <v>0</v>
      </c>
      <c r="B201" s="726"/>
      <c r="C201" s="714"/>
      <c r="D201" s="731"/>
      <c r="E201" s="713" t="str">
        <f t="shared" si="1"/>
        <v/>
      </c>
      <c r="F201" s="714"/>
      <c r="G201" s="727"/>
      <c r="H201" s="715"/>
      <c r="I201" s="716"/>
      <c r="M201" s="378"/>
      <c r="N201" s="346">
        <f>IFERROR(VLOOKUP(G201,Ch2_Storage,2),0)</f>
        <v>0</v>
      </c>
    </row>
    <row r="202" ht="18.75" customHeight="1">
      <c r="A202" s="373">
        <f>IFERROR(VLOOKUP(H202,PartyStorage,2, FALSE),0)</f>
        <v>0</v>
      </c>
      <c r="B202" s="728"/>
      <c r="C202" s="721"/>
      <c r="D202" s="729"/>
      <c r="E202" s="720" t="str">
        <f t="shared" si="1"/>
        <v/>
      </c>
      <c r="F202" s="721"/>
      <c r="G202" s="730"/>
      <c r="H202" s="723"/>
      <c r="I202" s="724"/>
      <c r="M202" s="725"/>
      <c r="N202" s="346">
        <f>IFERROR(VLOOKUP(G202,Ch2_Storage,2),0)</f>
        <v>0</v>
      </c>
    </row>
    <row r="203" ht="18.75" customHeight="1">
      <c r="A203" s="373">
        <f>IFERROR(VLOOKUP(H203,PartyStorage,2, FALSE),0)</f>
        <v>0</v>
      </c>
      <c r="B203" s="726"/>
      <c r="C203" s="714"/>
      <c r="D203" s="731"/>
      <c r="E203" s="713" t="str">
        <f t="shared" si="1"/>
        <v/>
      </c>
      <c r="F203" s="714"/>
      <c r="G203" s="727"/>
      <c r="H203" s="715"/>
      <c r="I203" s="716"/>
      <c r="M203" s="378"/>
      <c r="N203" s="346">
        <f>IFERROR(VLOOKUP(G203,Ch2_Storage,2),0)</f>
        <v>0</v>
      </c>
    </row>
    <row r="204" ht="18.75" customHeight="1">
      <c r="A204" s="373">
        <f>IFERROR(VLOOKUP(H204,PartyStorage,2, FALSE),0)</f>
        <v>0</v>
      </c>
      <c r="B204" s="728"/>
      <c r="C204" s="721"/>
      <c r="D204" s="729"/>
      <c r="E204" s="720" t="str">
        <f t="shared" si="1"/>
        <v/>
      </c>
      <c r="F204" s="721"/>
      <c r="G204" s="730"/>
      <c r="H204" s="723"/>
      <c r="I204" s="724"/>
      <c r="M204" s="725"/>
      <c r="N204" s="346">
        <f>IFERROR(VLOOKUP(G204,Ch2_Storage,2),0)</f>
        <v>0</v>
      </c>
    </row>
    <row r="205" ht="18.75" customHeight="1">
      <c r="A205" s="373">
        <f>IFERROR(VLOOKUP(H205,PartyStorage,2, FALSE),0)</f>
        <v>0</v>
      </c>
      <c r="B205" s="726"/>
      <c r="C205" s="714"/>
      <c r="D205" s="731"/>
      <c r="E205" s="713" t="str">
        <f t="shared" si="1"/>
        <v/>
      </c>
      <c r="F205" s="714"/>
      <c r="G205" s="727"/>
      <c r="H205" s="715"/>
      <c r="I205" s="716"/>
      <c r="M205" s="378"/>
      <c r="N205" s="346">
        <f>IFERROR(VLOOKUP(G205,Ch2_Storage,2),0)</f>
        <v>0</v>
      </c>
    </row>
    <row r="206" ht="18.75" customHeight="1">
      <c r="A206" s="373">
        <f>IFERROR(VLOOKUP(H206,PartyStorage,2, FALSE),0)</f>
        <v>0</v>
      </c>
      <c r="B206" s="728"/>
      <c r="C206" s="721"/>
      <c r="D206" s="729"/>
      <c r="E206" s="720" t="str">
        <f t="shared" si="1"/>
        <v/>
      </c>
      <c r="F206" s="721"/>
      <c r="G206" s="730"/>
      <c r="H206" s="723"/>
      <c r="I206" s="724"/>
      <c r="M206" s="725"/>
      <c r="N206" s="346">
        <f>IFERROR(VLOOKUP(G206,Ch2_Storage,2),0)</f>
        <v>0</v>
      </c>
    </row>
    <row r="207" ht="18.75" customHeight="1">
      <c r="A207" s="373">
        <f>IFERROR(VLOOKUP(H207,PartyStorage,2, FALSE),0)</f>
        <v>0</v>
      </c>
      <c r="B207" s="726"/>
      <c r="C207" s="714"/>
      <c r="D207" s="731"/>
      <c r="E207" s="713" t="str">
        <f t="shared" si="1"/>
        <v/>
      </c>
      <c r="F207" s="714"/>
      <c r="G207" s="727"/>
      <c r="H207" s="715"/>
      <c r="I207" s="716"/>
      <c r="M207" s="378"/>
      <c r="N207" s="346">
        <f>IFERROR(VLOOKUP(G207,Ch2_Storage,2),0)</f>
        <v>0</v>
      </c>
    </row>
    <row r="208" ht="18.75" customHeight="1">
      <c r="A208" s="373">
        <f>IFERROR(VLOOKUP(H208,PartyStorage,2, FALSE),0)</f>
        <v>0</v>
      </c>
      <c r="B208" s="732"/>
      <c r="C208" s="733"/>
      <c r="D208" s="734"/>
      <c r="E208" s="735" t="str">
        <f t="shared" si="1"/>
        <v/>
      </c>
      <c r="F208" s="733"/>
      <c r="G208" s="736"/>
      <c r="H208" s="737"/>
      <c r="I208" s="738"/>
      <c r="J208" s="739"/>
      <c r="K208" s="739"/>
      <c r="L208" s="739"/>
      <c r="M208" s="740"/>
      <c r="N208" s="346">
        <f>IFERROR(VLOOKUP(G208,Ch2_Storage,2),0)</f>
        <v>0</v>
      </c>
    </row>
    <row r="209" ht="7.5" customHeight="1">
      <c r="A209" s="380"/>
      <c r="B209" s="261"/>
      <c r="C209" s="261"/>
      <c r="D209" s="261"/>
      <c r="E209" s="261"/>
      <c r="F209" s="261"/>
      <c r="G209" s="261"/>
      <c r="H209" s="261"/>
      <c r="I209" s="261"/>
      <c r="J209" s="261"/>
      <c r="K209" s="261"/>
      <c r="L209" s="261"/>
      <c r="M209" s="261"/>
      <c r="N209" s="346"/>
    </row>
  </sheetData>
  <mergeCells count="197">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93:M193"/>
    <mergeCell ref="I194:M194"/>
    <mergeCell ref="I195:M195"/>
    <mergeCell ref="I196:M196"/>
    <mergeCell ref="I197:M197"/>
    <mergeCell ref="I198:M198"/>
    <mergeCell ref="I199:M199"/>
    <mergeCell ref="I207:M207"/>
    <mergeCell ref="I208:M208"/>
    <mergeCell ref="I200:M200"/>
    <mergeCell ref="I201:M201"/>
    <mergeCell ref="I202:M202"/>
    <mergeCell ref="I203:M203"/>
    <mergeCell ref="I204:M204"/>
    <mergeCell ref="I205:M205"/>
    <mergeCell ref="I206:M206"/>
    <mergeCell ref="I144:M144"/>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3" priority="4">
      <formula>IF($N$2="",true,false)</formula>
    </cfRule>
  </conditionalFormatting>
  <conditionalFormatting sqref="K3:M7">
    <cfRule type="expression" dxfId="4" priority="5">
      <formula>IF($N$2="",true,false)</formula>
    </cfRule>
  </conditionalFormatting>
  <dataValidations>
    <dataValidation type="list" allowBlank="1" showInputMessage="1" showErrorMessage="1" prompt="Every item must have a PC or party storage location" sqref="G27:G208">
      <formula1>'Character Info'!$P$6:$P$15</formula1>
    </dataValidation>
    <dataValidation type="list" allowBlank="1" showErrorMessage="1" sqref="H27:H208">
      <formula1>PartyStorageSingle</formula1>
    </dataValidation>
  </dataValidations>
  <hyperlinks>
    <hyperlink r:id="rId2" ref="E1"/>
    <hyperlink r:id="rId3" ref="I1"/>
  </hyperlinks>
  <drawing r:id="rId4"/>
  <legacyDrawing r:id="rId5"/>
  <tableParts count="4">
    <tablePart r:id="rId10"/>
    <tablePart r:id="rId11"/>
    <tablePart r:id="rId12"/>
    <tablePart r:id="rId1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9000"/>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Ch3_Name</f>
        <v/>
      </c>
      <c r="B1" s="437"/>
      <c r="C1" s="438"/>
      <c r="D1" s="438"/>
      <c r="E1" s="248" t="s">
        <v>62</v>
      </c>
      <c r="F1" s="438"/>
      <c r="G1" s="439"/>
      <c r="H1" s="439"/>
      <c r="I1" s="440" t="s">
        <v>63</v>
      </c>
      <c r="J1" s="426"/>
      <c r="K1" s="439"/>
      <c r="L1" s="439"/>
      <c r="M1" s="439"/>
      <c r="N1" s="287"/>
      <c r="O1" s="439"/>
      <c r="P1" s="439"/>
      <c r="Q1" s="439"/>
      <c r="R1" s="439"/>
      <c r="S1" s="439"/>
      <c r="T1" s="439"/>
      <c r="U1" s="439"/>
      <c r="V1" s="439"/>
      <c r="W1" s="439"/>
      <c r="X1" s="439"/>
      <c r="Y1" s="439"/>
      <c r="Z1" s="439"/>
      <c r="AA1" s="439"/>
      <c r="AB1" s="439"/>
    </row>
    <row r="2" ht="18.75" customHeight="1">
      <c r="A2" s="543" t="str">
        <f>IF(ISBLANK(Ch3_Size),"",VLOOKUP(Ch3_Size,SizeMultipliers,2, FALSE))</f>
        <v/>
      </c>
      <c r="B2" s="741" t="s">
        <v>64</v>
      </c>
      <c r="C2" s="742"/>
      <c r="D2" s="743"/>
      <c r="E2" s="547" t="str">
        <f>IMAGE(E1,1)</f>
        <v/>
      </c>
      <c r="G2" s="744" t="s">
        <v>65</v>
      </c>
      <c r="H2" s="745"/>
      <c r="I2" s="446" t="str">
        <f>IMAGE(I1,1)</f>
        <v/>
      </c>
      <c r="K2" s="741" t="str">
        <f>IF(ISBLANK(Ch3_MountName),"Mount",Ch3_MountName)&amp;"'s Encumbrance"</f>
        <v>Mount's Encumbrance</v>
      </c>
      <c r="L2" s="25"/>
      <c r="M2" s="26"/>
      <c r="N2" s="394" t="str">
        <f>IF(ISBLANK(Ch3_MountSize),"",VLOOKUP(Ch3_MountSize,SizeMultipliers,2, FALSE))</f>
        <v/>
      </c>
    </row>
    <row r="3" ht="18.75" customHeight="1">
      <c r="A3" s="289"/>
      <c r="B3" s="352" t="s">
        <v>53</v>
      </c>
      <c r="C3" s="353"/>
      <c r="D3" s="746">
        <f>Ch3_Str*Ch3_SizeMultiplier*5</f>
        <v>0</v>
      </c>
      <c r="G3" s="747" t="s">
        <v>66</v>
      </c>
      <c r="H3" s="748">
        <v>0.0</v>
      </c>
      <c r="K3" s="352" t="s">
        <v>53</v>
      </c>
      <c r="L3" s="353"/>
      <c r="M3" s="746">
        <f>Ch3_MountStr*Ch3_MountSizeMult*5</f>
        <v>0</v>
      </c>
      <c r="N3" s="346"/>
    </row>
    <row r="4" ht="18.75" customHeight="1">
      <c r="A4" s="289"/>
      <c r="B4" s="749" t="s">
        <v>55</v>
      </c>
      <c r="C4" s="750"/>
      <c r="D4" s="751">
        <f>Ch3_Str*Ch3_SizeMultiplier*10</f>
        <v>0</v>
      </c>
      <c r="G4" s="747" t="s">
        <v>67</v>
      </c>
      <c r="H4" s="748">
        <f>(VLOOKUP(ADD(Ch3_Level,1),XPTable_v,2))-Ch3_XP</f>
        <v>300</v>
      </c>
      <c r="K4" s="749" t="s">
        <v>55</v>
      </c>
      <c r="L4" s="750"/>
      <c r="M4" s="751">
        <f>Ch3_MountStr*Ch3_MountSizeMult*10</f>
        <v>0</v>
      </c>
      <c r="N4" s="346"/>
    </row>
    <row r="5" ht="18.75" customHeight="1">
      <c r="A5" s="289"/>
      <c r="B5" s="352" t="s">
        <v>17</v>
      </c>
      <c r="C5" s="353"/>
      <c r="D5" s="746">
        <f>Ch3_Str*Ch3_SizeMultiplier*15</f>
        <v>0</v>
      </c>
      <c r="G5" s="752" t="s">
        <v>68</v>
      </c>
      <c r="H5" s="753">
        <f>MATCH(Ch3_XP,XPTable_m,2)</f>
        <v>1</v>
      </c>
      <c r="K5" s="352" t="s">
        <v>17</v>
      </c>
      <c r="L5" s="353"/>
      <c r="M5" s="746">
        <f>Ch3_MountStr*Ch3_MountSizeMult*15</f>
        <v>0</v>
      </c>
      <c r="N5" s="346"/>
    </row>
    <row r="6" ht="18.75" customHeight="1">
      <c r="A6" s="289"/>
      <c r="B6" s="749" t="s">
        <v>57</v>
      </c>
      <c r="C6" s="750"/>
      <c r="D6" s="751">
        <f>Ch3_Str*Ch3_SizeMultiplier*30</f>
        <v>0</v>
      </c>
      <c r="G6" s="17"/>
      <c r="H6" s="17"/>
      <c r="K6" s="749" t="s">
        <v>57</v>
      </c>
      <c r="L6" s="750"/>
      <c r="M6" s="751">
        <f>Ch3_MountStr*Ch3_MountSizeMult*30</f>
        <v>0</v>
      </c>
      <c r="N6" s="346"/>
    </row>
    <row r="7" ht="18.75" customHeight="1">
      <c r="A7" s="289"/>
      <c r="B7" s="457" t="s">
        <v>43</v>
      </c>
      <c r="C7" s="754"/>
      <c r="D7" s="755">
        <f t="array" ref="D7">SUMIF(Ch2_EquipStatus,"=On Character",Ch2_InventoryWeights)</f>
        <v>0</v>
      </c>
      <c r="G7" s="756" t="s">
        <v>30</v>
      </c>
      <c r="H7" s="461">
        <f>SUM(G11:G15,G19:G24)</f>
        <v>0</v>
      </c>
      <c r="K7" s="369" t="s">
        <v>43</v>
      </c>
      <c r="L7" s="754"/>
      <c r="M7" s="757">
        <f t="array" ref="M7">SUMIF(Ch3_EquipStatus,"=On Mount",Ch3_InventoryWeights)++IF( NOT(EQ(N2,"")),D7+Ch3_Weight,"")</f>
        <v>0</v>
      </c>
      <c r="N7" s="346"/>
    </row>
    <row r="8" ht="7.5" customHeight="1">
      <c r="A8" s="289"/>
      <c r="B8" s="463"/>
      <c r="C8" s="464"/>
      <c r="D8" s="465"/>
      <c r="E8" s="464"/>
      <c r="F8" s="464"/>
      <c r="G8" s="464"/>
      <c r="H8" s="464"/>
      <c r="I8" s="466"/>
      <c r="J8" s="467"/>
      <c r="K8" s="467"/>
      <c r="L8" s="467"/>
      <c r="M8" s="467"/>
      <c r="N8" s="346"/>
    </row>
    <row r="9" ht="18.75" customHeight="1">
      <c r="A9" s="289"/>
      <c r="B9" s="758" t="s">
        <v>28</v>
      </c>
      <c r="C9" s="742"/>
      <c r="D9" s="759" t="s">
        <v>29</v>
      </c>
      <c r="E9" s="760"/>
      <c r="F9" s="760"/>
      <c r="G9" s="760"/>
      <c r="H9" s="760"/>
      <c r="I9" s="761"/>
      <c r="J9" s="762"/>
      <c r="K9" s="762"/>
      <c r="L9" s="762"/>
      <c r="M9" s="763"/>
      <c r="N9" s="346"/>
    </row>
    <row r="10" ht="18.75" customHeight="1">
      <c r="A10" s="289"/>
      <c r="B10" s="764" t="s">
        <v>31</v>
      </c>
      <c r="C10" s="765" t="s">
        <v>11</v>
      </c>
      <c r="D10" s="765" t="s">
        <v>32</v>
      </c>
      <c r="E10" s="765" t="s">
        <v>33</v>
      </c>
      <c r="F10" s="765" t="s">
        <v>34</v>
      </c>
      <c r="G10" s="765" t="s">
        <v>35</v>
      </c>
      <c r="H10" s="765" t="s">
        <v>36</v>
      </c>
      <c r="I10" s="765" t="s">
        <v>37</v>
      </c>
      <c r="J10" s="765" t="s">
        <v>38</v>
      </c>
      <c r="K10" s="765" t="s">
        <v>39</v>
      </c>
      <c r="L10" s="765" t="s">
        <v>40</v>
      </c>
      <c r="M10" s="766" t="s">
        <v>41</v>
      </c>
      <c r="N10" s="447"/>
    </row>
    <row r="11" ht="18.75" customHeight="1">
      <c r="A11" s="289"/>
      <c r="B11" s="767">
        <v>0.0</v>
      </c>
      <c r="C11" s="768" t="s">
        <v>42</v>
      </c>
      <c r="D11" s="769">
        <f>B11</f>
        <v>0</v>
      </c>
      <c r="E11" s="770">
        <f>B11/10</f>
        <v>0</v>
      </c>
      <c r="F11" s="770">
        <f>B11/50</f>
        <v>0</v>
      </c>
      <c r="G11" s="770">
        <f>B11/100</f>
        <v>0</v>
      </c>
      <c r="H11" s="770">
        <f>B11/1000</f>
        <v>0</v>
      </c>
      <c r="I11" s="771">
        <f>B11/5000</f>
        <v>0</v>
      </c>
      <c r="J11" s="772">
        <f>B11/10000</f>
        <v>0</v>
      </c>
      <c r="K11" s="772">
        <f>B11/50000</f>
        <v>0</v>
      </c>
      <c r="L11" s="772">
        <f>B11/100000</f>
        <v>0</v>
      </c>
      <c r="M11" s="773">
        <f>B11/500000</f>
        <v>0</v>
      </c>
      <c r="N11" s="346"/>
    </row>
    <row r="12" ht="18.75" customHeight="1">
      <c r="A12" s="289"/>
      <c r="B12" s="774">
        <v>0.0</v>
      </c>
      <c r="C12" s="775" t="s">
        <v>44</v>
      </c>
      <c r="D12" s="776">
        <f>B12*10</f>
        <v>0</v>
      </c>
      <c r="E12" s="777">
        <f>B12</f>
        <v>0</v>
      </c>
      <c r="F12" s="776">
        <f>B12/5</f>
        <v>0</v>
      </c>
      <c r="G12" s="776">
        <f>B12/10</f>
        <v>0</v>
      </c>
      <c r="H12" s="776">
        <f>B12/100</f>
        <v>0</v>
      </c>
      <c r="I12" s="776">
        <f>B12/500</f>
        <v>0</v>
      </c>
      <c r="J12" s="776">
        <f>B12/1000</f>
        <v>0</v>
      </c>
      <c r="K12" s="776">
        <f>B12/5000</f>
        <v>0</v>
      </c>
      <c r="L12" s="776">
        <f>B12/10000</f>
        <v>0</v>
      </c>
      <c r="M12" s="778">
        <f>B12/50000</f>
        <v>0</v>
      </c>
      <c r="N12" s="346"/>
    </row>
    <row r="13" ht="18.75" customHeight="1">
      <c r="A13" s="289"/>
      <c r="B13" s="767">
        <v>0.0</v>
      </c>
      <c r="C13" s="768" t="s">
        <v>45</v>
      </c>
      <c r="D13" s="770">
        <f>B13*50</f>
        <v>0</v>
      </c>
      <c r="E13" s="770">
        <f>B13*5</f>
        <v>0</v>
      </c>
      <c r="F13" s="769">
        <f>B13</f>
        <v>0</v>
      </c>
      <c r="G13" s="770">
        <f>B13/2</f>
        <v>0</v>
      </c>
      <c r="H13" s="770">
        <f>B13/20</f>
        <v>0</v>
      </c>
      <c r="I13" s="770">
        <f>B13/100</f>
        <v>0</v>
      </c>
      <c r="J13" s="772">
        <f>B13/200</f>
        <v>0</v>
      </c>
      <c r="K13" s="772">
        <f>B13/1000</f>
        <v>0</v>
      </c>
      <c r="L13" s="772">
        <f>B13/2000</f>
        <v>0</v>
      </c>
      <c r="M13" s="773">
        <f>B13/10000</f>
        <v>0</v>
      </c>
      <c r="N13" s="346"/>
    </row>
    <row r="14" ht="18.75" customHeight="1">
      <c r="A14" s="289"/>
      <c r="B14" s="774">
        <v>0.0</v>
      </c>
      <c r="C14" s="775" t="s">
        <v>46</v>
      </c>
      <c r="D14" s="776">
        <f>B14*100</f>
        <v>0</v>
      </c>
      <c r="E14" s="776">
        <f>B14*10</f>
        <v>0</v>
      </c>
      <c r="F14" s="776">
        <f>B14*2</f>
        <v>0</v>
      </c>
      <c r="G14" s="777">
        <f>B14</f>
        <v>0</v>
      </c>
      <c r="H14" s="776">
        <f>B14/10</f>
        <v>0</v>
      </c>
      <c r="I14" s="776">
        <f>B14/50</f>
        <v>0</v>
      </c>
      <c r="J14" s="779">
        <f>B14/100</f>
        <v>0</v>
      </c>
      <c r="K14" s="779">
        <f>B14/500</f>
        <v>0</v>
      </c>
      <c r="L14" s="779">
        <f>B14/1000</f>
        <v>0</v>
      </c>
      <c r="M14" s="780">
        <f>B14/5000</f>
        <v>0</v>
      </c>
      <c r="N14" s="346"/>
    </row>
    <row r="15" ht="18.75" customHeight="1">
      <c r="A15" s="289"/>
      <c r="B15" s="781">
        <v>0.0</v>
      </c>
      <c r="C15" s="782" t="s">
        <v>47</v>
      </c>
      <c r="D15" s="783">
        <f>B15*1000</f>
        <v>0</v>
      </c>
      <c r="E15" s="783">
        <f>B15*100</f>
        <v>0</v>
      </c>
      <c r="F15" s="783">
        <f>B15*20</f>
        <v>0</v>
      </c>
      <c r="G15" s="783">
        <f>B15*10</f>
        <v>0</v>
      </c>
      <c r="H15" s="783">
        <f>B15*1</f>
        <v>0</v>
      </c>
      <c r="I15" s="783">
        <f>B15/5</f>
        <v>0</v>
      </c>
      <c r="J15" s="784">
        <f>B15/10</f>
        <v>0</v>
      </c>
      <c r="K15" s="784">
        <f>B15/50</f>
        <v>0</v>
      </c>
      <c r="L15" s="784">
        <f>B15/100</f>
        <v>0</v>
      </c>
      <c r="M15" s="785">
        <f>B15/500</f>
        <v>0</v>
      </c>
      <c r="N15" s="346"/>
    </row>
    <row r="16" ht="7.5" customHeight="1">
      <c r="A16" s="289"/>
      <c r="B16" s="338"/>
      <c r="C16" s="339"/>
      <c r="D16" s="339"/>
      <c r="E16" s="339"/>
      <c r="F16" s="339"/>
      <c r="G16" s="339"/>
      <c r="H16" s="339"/>
      <c r="I16" s="339"/>
      <c r="J16" s="340"/>
      <c r="K16" s="340"/>
      <c r="L16" s="340"/>
      <c r="M16" s="340"/>
      <c r="N16" s="341"/>
      <c r="O16" s="114"/>
      <c r="P16" s="114"/>
      <c r="Q16" s="114"/>
      <c r="R16" s="114"/>
      <c r="S16" s="114"/>
      <c r="T16" s="114"/>
      <c r="U16" s="114"/>
      <c r="V16" s="114"/>
      <c r="W16" s="114"/>
      <c r="X16" s="114"/>
      <c r="Y16" s="114"/>
      <c r="Z16" s="114"/>
      <c r="AA16" s="114"/>
      <c r="AB16" s="114"/>
    </row>
    <row r="17" ht="18.75" customHeight="1">
      <c r="A17" s="289"/>
      <c r="B17" s="758" t="s">
        <v>48</v>
      </c>
      <c r="C17" s="742"/>
      <c r="D17" s="759" t="s">
        <v>29</v>
      </c>
      <c r="E17" s="760"/>
      <c r="F17" s="760"/>
      <c r="G17" s="760"/>
      <c r="H17" s="760"/>
      <c r="I17" s="760"/>
      <c r="J17" s="762"/>
      <c r="K17" s="762"/>
      <c r="L17" s="762"/>
      <c r="M17" s="763"/>
      <c r="N17" s="346"/>
    </row>
    <row r="18" ht="18.75" customHeight="1">
      <c r="A18" s="289"/>
      <c r="B18" s="764" t="s">
        <v>31</v>
      </c>
      <c r="C18" s="765" t="s">
        <v>11</v>
      </c>
      <c r="D18" s="765" t="s">
        <v>32</v>
      </c>
      <c r="E18" s="765" t="s">
        <v>33</v>
      </c>
      <c r="F18" s="765" t="s">
        <v>34</v>
      </c>
      <c r="G18" s="765" t="s">
        <v>35</v>
      </c>
      <c r="H18" s="765" t="s">
        <v>36</v>
      </c>
      <c r="I18" s="765" t="s">
        <v>37</v>
      </c>
      <c r="J18" s="765" t="s">
        <v>38</v>
      </c>
      <c r="K18" s="765" t="s">
        <v>39</v>
      </c>
      <c r="L18" s="765" t="s">
        <v>40</v>
      </c>
      <c r="M18" s="766" t="s">
        <v>41</v>
      </c>
      <c r="N18" s="346"/>
    </row>
    <row r="19" ht="18.75" customHeight="1">
      <c r="A19" s="289"/>
      <c r="B19" s="786">
        <v>0.0</v>
      </c>
      <c r="C19" s="768" t="s">
        <v>49</v>
      </c>
      <c r="D19" s="770">
        <f>B19*1000</f>
        <v>0</v>
      </c>
      <c r="E19" s="770">
        <f>B19*100</f>
        <v>0</v>
      </c>
      <c r="F19" s="770">
        <f>B19*20</f>
        <v>0</v>
      </c>
      <c r="G19" s="770">
        <f>B19*10</f>
        <v>0</v>
      </c>
      <c r="H19" s="770">
        <f>B19*1</f>
        <v>0</v>
      </c>
      <c r="I19" s="770">
        <f>B19/5</f>
        <v>0</v>
      </c>
      <c r="J19" s="772">
        <f>B19/10</f>
        <v>0</v>
      </c>
      <c r="K19" s="772">
        <f>B19/50</f>
        <v>0</v>
      </c>
      <c r="L19" s="772">
        <f>B19/100</f>
        <v>0</v>
      </c>
      <c r="M19" s="773">
        <f>B19/500</f>
        <v>0</v>
      </c>
      <c r="N19" s="346"/>
    </row>
    <row r="20" ht="18.75" customHeight="1">
      <c r="A20" s="289"/>
      <c r="B20" s="787">
        <v>0.0</v>
      </c>
      <c r="C20" s="775" t="s">
        <v>50</v>
      </c>
      <c r="D20" s="776">
        <f>B20*5000</f>
        <v>0</v>
      </c>
      <c r="E20" s="776">
        <f>B20*500</f>
        <v>0</v>
      </c>
      <c r="F20" s="776">
        <f>B20*100</f>
        <v>0</v>
      </c>
      <c r="G20" s="776">
        <f>B20*50</f>
        <v>0</v>
      </c>
      <c r="H20" s="776">
        <f>B20*5</f>
        <v>0</v>
      </c>
      <c r="I20" s="777">
        <f>B20</f>
        <v>0</v>
      </c>
      <c r="J20" s="779">
        <f>B20/2</f>
        <v>0</v>
      </c>
      <c r="K20" s="779">
        <f>B20/10</f>
        <v>0</v>
      </c>
      <c r="L20" s="779">
        <f>B20/20</f>
        <v>0</v>
      </c>
      <c r="M20" s="780">
        <f>B20/100</f>
        <v>0</v>
      </c>
      <c r="N20" s="346"/>
    </row>
    <row r="21" ht="18.75" customHeight="1">
      <c r="A21" s="289"/>
      <c r="B21" s="786">
        <v>0.0</v>
      </c>
      <c r="C21" s="768" t="s">
        <v>51</v>
      </c>
      <c r="D21" s="770">
        <f>B21*10000</f>
        <v>0</v>
      </c>
      <c r="E21" s="770">
        <f>B21*1000</f>
        <v>0</v>
      </c>
      <c r="F21" s="770">
        <f>B21*200</f>
        <v>0</v>
      </c>
      <c r="G21" s="770">
        <f>B21*100</f>
        <v>0</v>
      </c>
      <c r="H21" s="770">
        <f>B21*10</f>
        <v>0</v>
      </c>
      <c r="I21" s="770">
        <f>B21/5*10</f>
        <v>0</v>
      </c>
      <c r="J21" s="788">
        <f>B21</f>
        <v>0</v>
      </c>
      <c r="K21" s="772">
        <f>B21/5</f>
        <v>0</v>
      </c>
      <c r="L21" s="772">
        <f>B21/10</f>
        <v>0</v>
      </c>
      <c r="M21" s="773">
        <f>B21/50</f>
        <v>0</v>
      </c>
      <c r="N21" s="346"/>
    </row>
    <row r="22" ht="18.75" customHeight="1">
      <c r="A22" s="289"/>
      <c r="B22" s="787">
        <v>0.0</v>
      </c>
      <c r="C22" s="775" t="s">
        <v>52</v>
      </c>
      <c r="D22" s="776">
        <f>B22*50000</f>
        <v>0</v>
      </c>
      <c r="E22" s="776">
        <f>B22*5000</f>
        <v>0</v>
      </c>
      <c r="F22" s="776">
        <f>B22*1000</f>
        <v>0</v>
      </c>
      <c r="G22" s="776">
        <f>B22*500</f>
        <v>0</v>
      </c>
      <c r="H22" s="776">
        <f>B22*50</f>
        <v>0</v>
      </c>
      <c r="I22" s="776">
        <f>B22*10</f>
        <v>0</v>
      </c>
      <c r="J22" s="779">
        <f>B22/2*10</f>
        <v>0</v>
      </c>
      <c r="K22" s="789">
        <f>B22</f>
        <v>0</v>
      </c>
      <c r="L22" s="779">
        <f>B22/2</f>
        <v>0</v>
      </c>
      <c r="M22" s="780">
        <f>B22/10</f>
        <v>0</v>
      </c>
      <c r="N22" s="346"/>
    </row>
    <row r="23" ht="18.75" customHeight="1">
      <c r="A23" s="289"/>
      <c r="B23" s="786">
        <v>0.0</v>
      </c>
      <c r="C23" s="768" t="s">
        <v>54</v>
      </c>
      <c r="D23" s="770">
        <f>B23*100000</f>
        <v>0</v>
      </c>
      <c r="E23" s="770">
        <f>B23*10000</f>
        <v>0</v>
      </c>
      <c r="F23" s="770">
        <f>B23*2000</f>
        <v>0</v>
      </c>
      <c r="G23" s="770">
        <f>B23*1000</f>
        <v>0</v>
      </c>
      <c r="H23" s="770">
        <f>B23*100</f>
        <v>0</v>
      </c>
      <c r="I23" s="770">
        <f>B23/5*100</f>
        <v>0</v>
      </c>
      <c r="J23" s="772">
        <f>B23*10</f>
        <v>0</v>
      </c>
      <c r="K23" s="772">
        <f>B23/5*10</f>
        <v>0</v>
      </c>
      <c r="L23" s="788">
        <f>B23</f>
        <v>0</v>
      </c>
      <c r="M23" s="773">
        <f>B23/5</f>
        <v>0</v>
      </c>
      <c r="N23" s="346"/>
    </row>
    <row r="24" ht="18.75" customHeight="1">
      <c r="A24" s="289"/>
      <c r="B24" s="790">
        <v>0.0</v>
      </c>
      <c r="C24" s="791" t="s">
        <v>56</v>
      </c>
      <c r="D24" s="792">
        <f>B24*500000</f>
        <v>0</v>
      </c>
      <c r="E24" s="792">
        <f>B24*50000</f>
        <v>0</v>
      </c>
      <c r="F24" s="792">
        <f>B24*10000</f>
        <v>0</v>
      </c>
      <c r="G24" s="792">
        <f>B24*5000</f>
        <v>0</v>
      </c>
      <c r="H24" s="792">
        <f>B24*500</f>
        <v>0</v>
      </c>
      <c r="I24" s="792">
        <f>B24*100</f>
        <v>0</v>
      </c>
      <c r="J24" s="793">
        <f>B24/2*100</f>
        <v>0</v>
      </c>
      <c r="K24" s="793">
        <f>B24*10</f>
        <v>0</v>
      </c>
      <c r="L24" s="793">
        <f>B24/2*10</f>
        <v>0</v>
      </c>
      <c r="M24" s="794">
        <f>B24</f>
        <v>0</v>
      </c>
      <c r="N24" s="346"/>
    </row>
    <row r="25" ht="7.5" customHeight="1">
      <c r="A25" s="289"/>
      <c r="B25" s="364"/>
      <c r="C25" s="13"/>
      <c r="D25" s="13"/>
      <c r="E25" s="13"/>
      <c r="F25" s="13"/>
      <c r="G25" s="13"/>
      <c r="H25" s="13"/>
      <c r="I25" s="13"/>
      <c r="J25" s="261"/>
      <c r="K25" s="261"/>
      <c r="L25" s="261"/>
      <c r="M25" s="261"/>
      <c r="N25" s="346"/>
    </row>
    <row r="26" ht="18.75" customHeight="1">
      <c r="A26" s="289"/>
      <c r="B26" s="795" t="s">
        <v>31</v>
      </c>
      <c r="C26" s="796" t="s">
        <v>58</v>
      </c>
      <c r="D26" s="796" t="s">
        <v>59</v>
      </c>
      <c r="E26" s="796" t="s">
        <v>60</v>
      </c>
      <c r="F26" s="796" t="s">
        <v>61</v>
      </c>
      <c r="G26" s="796" t="s">
        <v>69</v>
      </c>
      <c r="H26" s="797" t="s">
        <v>73</v>
      </c>
      <c r="I26" s="798" t="s">
        <v>71</v>
      </c>
      <c r="J26" s="25"/>
      <c r="K26" s="25"/>
      <c r="L26" s="25"/>
      <c r="M26" s="26"/>
      <c r="N26" s="368"/>
    </row>
    <row r="27" ht="18.75" customHeight="1">
      <c r="A27" s="598">
        <f>IFERROR(VLOOKUP(H27,PartyStorage,2, FALSE),0)</f>
        <v>0</v>
      </c>
      <c r="B27" s="712">
        <f>sum(Ch3_Money)</f>
        <v>0</v>
      </c>
      <c r="C27" s="485" t="s">
        <v>28</v>
      </c>
      <c r="D27" s="509">
        <v>0.02</v>
      </c>
      <c r="E27" s="799">
        <f t="shared" ref="E27:E208" si="1">IF(ISBLANK(C27),"",IF(ISBLANK(B27),D27,D27*B27))</f>
        <v>0</v>
      </c>
      <c r="F27" s="779"/>
      <c r="G27" s="510"/>
      <c r="H27" s="800"/>
      <c r="I27" s="801"/>
      <c r="M27" s="378"/>
      <c r="N27" s="346">
        <f>IFERROR(VLOOKUP(G27,Ch3_Storage,2, FALSE),0)</f>
        <v>0</v>
      </c>
    </row>
    <row r="28" ht="18.75" customHeight="1">
      <c r="A28" s="598">
        <f>IFERROR(VLOOKUP(H28,PartyStorage,2, FALSE),0)</f>
        <v>0</v>
      </c>
      <c r="B28" s="802">
        <f>sum(Ch3_Gems)</f>
        <v>0</v>
      </c>
      <c r="C28" s="803" t="s">
        <v>48</v>
      </c>
      <c r="D28" s="804">
        <v>0.02</v>
      </c>
      <c r="E28" s="805">
        <f t="shared" si="1"/>
        <v>0</v>
      </c>
      <c r="F28" s="772"/>
      <c r="G28" s="806"/>
      <c r="H28" s="807"/>
      <c r="I28" s="808"/>
      <c r="M28" s="809"/>
      <c r="N28" s="346">
        <f>IFERROR(VLOOKUP(G28,Ch3_Storage,2, FALSE),0)</f>
        <v>0</v>
      </c>
    </row>
    <row r="29" ht="18.75" customHeight="1">
      <c r="A29" s="598">
        <f>IFERROR(VLOOKUP(H29,PartyStorage,2, FALSE),0)</f>
        <v>0</v>
      </c>
      <c r="B29" s="810"/>
      <c r="C29" s="779"/>
      <c r="D29" s="811"/>
      <c r="E29" s="799" t="str">
        <f t="shared" si="1"/>
        <v/>
      </c>
      <c r="F29" s="779"/>
      <c r="G29" s="812"/>
      <c r="H29" s="800"/>
      <c r="I29" s="801"/>
      <c r="M29" s="378"/>
      <c r="N29" s="346">
        <f>IFERROR(VLOOKUP(G29,Ch3_Storage,2, FALSE),0)</f>
        <v>0</v>
      </c>
    </row>
    <row r="30" ht="18.75" customHeight="1">
      <c r="A30" s="598">
        <f>IFERROR(VLOOKUP(H30,PartyStorage,2, FALSE),0)</f>
        <v>0</v>
      </c>
      <c r="B30" s="813"/>
      <c r="C30" s="772"/>
      <c r="D30" s="814"/>
      <c r="E30" s="805" t="str">
        <f t="shared" si="1"/>
        <v/>
      </c>
      <c r="F30" s="772"/>
      <c r="G30" s="815"/>
      <c r="H30" s="807"/>
      <c r="I30" s="808"/>
      <c r="M30" s="809"/>
      <c r="N30" s="346">
        <f>IFERROR(VLOOKUP(G30,Ch3_Storage,2, FALSE),0)</f>
        <v>0</v>
      </c>
    </row>
    <row r="31" ht="18.75" customHeight="1">
      <c r="A31" s="598">
        <f>IFERROR(VLOOKUP(H31,PartyStorage,2, FALSE),0)</f>
        <v>0</v>
      </c>
      <c r="B31" s="810"/>
      <c r="C31" s="779"/>
      <c r="D31" s="811"/>
      <c r="E31" s="799" t="str">
        <f t="shared" si="1"/>
        <v/>
      </c>
      <c r="F31" s="779"/>
      <c r="G31" s="812"/>
      <c r="H31" s="800"/>
      <c r="I31" s="801"/>
      <c r="M31" s="378"/>
      <c r="N31" s="346">
        <f>IFERROR(VLOOKUP(G31,Ch3_Storage,2, FALSE),0)</f>
        <v>0</v>
      </c>
    </row>
    <row r="32" ht="18.75" customHeight="1">
      <c r="A32" s="598">
        <f>IFERROR(VLOOKUP(H32,PartyStorage,2, FALSE),0)</f>
        <v>0</v>
      </c>
      <c r="B32" s="813"/>
      <c r="C32" s="772"/>
      <c r="D32" s="814"/>
      <c r="E32" s="805" t="str">
        <f t="shared" si="1"/>
        <v/>
      </c>
      <c r="F32" s="772"/>
      <c r="G32" s="815"/>
      <c r="H32" s="807"/>
      <c r="I32" s="808"/>
      <c r="M32" s="809"/>
      <c r="N32" s="346">
        <f>IFERROR(VLOOKUP(G32,Ch3_Storage,2, FALSE),0)</f>
        <v>0</v>
      </c>
    </row>
    <row r="33" ht="18.75" customHeight="1">
      <c r="A33" s="598">
        <f>IFERROR(VLOOKUP(H33,PartyStorage,2, FALSE),0)</f>
        <v>0</v>
      </c>
      <c r="B33" s="810"/>
      <c r="C33" s="779"/>
      <c r="D33" s="811"/>
      <c r="E33" s="799" t="str">
        <f t="shared" si="1"/>
        <v/>
      </c>
      <c r="F33" s="779"/>
      <c r="G33" s="812"/>
      <c r="H33" s="800"/>
      <c r="I33" s="801"/>
      <c r="M33" s="378"/>
      <c r="N33" s="346">
        <f>IFERROR(VLOOKUP(G33,Ch3_Storage,2, FALSE),0)</f>
        <v>0</v>
      </c>
    </row>
    <row r="34" ht="18.75" customHeight="1">
      <c r="A34" s="598">
        <f>IFERROR(VLOOKUP(H34,PartyStorage,2, FALSE),0)</f>
        <v>0</v>
      </c>
      <c r="B34" s="813"/>
      <c r="C34" s="772"/>
      <c r="D34" s="814"/>
      <c r="E34" s="805" t="str">
        <f t="shared" si="1"/>
        <v/>
      </c>
      <c r="F34" s="772"/>
      <c r="G34" s="815"/>
      <c r="H34" s="807"/>
      <c r="I34" s="808"/>
      <c r="M34" s="809"/>
      <c r="N34" s="346">
        <f>IFERROR(VLOOKUP(G34,Ch3_Storage,2, FALSE),0)</f>
        <v>0</v>
      </c>
    </row>
    <row r="35" ht="18.75" customHeight="1">
      <c r="A35" s="598">
        <f>IFERROR(VLOOKUP(H35,PartyStorage,2, FALSE),0)</f>
        <v>0</v>
      </c>
      <c r="B35" s="810"/>
      <c r="C35" s="779"/>
      <c r="D35" s="811"/>
      <c r="E35" s="799" t="str">
        <f t="shared" si="1"/>
        <v/>
      </c>
      <c r="F35" s="779"/>
      <c r="G35" s="812"/>
      <c r="H35" s="800"/>
      <c r="I35" s="801"/>
      <c r="M35" s="378"/>
      <c r="N35" s="346">
        <f>IFERROR(VLOOKUP(G35,Ch3_Storage,2, FALSE),0)</f>
        <v>0</v>
      </c>
    </row>
    <row r="36" ht="18.75" customHeight="1">
      <c r="A36" s="598">
        <f>IFERROR(VLOOKUP(H36,PartyStorage,2, FALSE),0)</f>
        <v>0</v>
      </c>
      <c r="B36" s="813"/>
      <c r="C36" s="772"/>
      <c r="D36" s="814"/>
      <c r="E36" s="805" t="str">
        <f t="shared" si="1"/>
        <v/>
      </c>
      <c r="F36" s="772"/>
      <c r="G36" s="815"/>
      <c r="H36" s="807"/>
      <c r="I36" s="808"/>
      <c r="M36" s="809"/>
      <c r="N36" s="346">
        <f>IFERROR(VLOOKUP(G36,Ch3_Storage,2, FALSE),0)</f>
        <v>0</v>
      </c>
    </row>
    <row r="37" ht="18.75" customHeight="1">
      <c r="A37" s="598">
        <f>IFERROR(VLOOKUP(H37,PartyStorage,2, FALSE),0)</f>
        <v>0</v>
      </c>
      <c r="B37" s="810"/>
      <c r="C37" s="779"/>
      <c r="D37" s="811"/>
      <c r="E37" s="799" t="str">
        <f t="shared" si="1"/>
        <v/>
      </c>
      <c r="F37" s="779"/>
      <c r="G37" s="812"/>
      <c r="H37" s="800"/>
      <c r="I37" s="801"/>
      <c r="M37" s="378"/>
      <c r="N37" s="346">
        <f>IFERROR(VLOOKUP(G37,Ch3_Storage,2, FALSE),0)</f>
        <v>0</v>
      </c>
    </row>
    <row r="38" ht="18.75" customHeight="1">
      <c r="A38" s="598">
        <f>IFERROR(VLOOKUP(H38,PartyStorage,2, FALSE),0)</f>
        <v>0</v>
      </c>
      <c r="B38" s="813"/>
      <c r="C38" s="772"/>
      <c r="D38" s="814"/>
      <c r="E38" s="805" t="str">
        <f t="shared" si="1"/>
        <v/>
      </c>
      <c r="F38" s="772"/>
      <c r="G38" s="815"/>
      <c r="H38" s="807"/>
      <c r="I38" s="808"/>
      <c r="M38" s="809"/>
      <c r="N38" s="346">
        <f>IFERROR(VLOOKUP(G38,Ch3_Storage,2, FALSE),0)</f>
        <v>0</v>
      </c>
    </row>
    <row r="39" ht="18.75" customHeight="1">
      <c r="A39" s="598">
        <f>IFERROR(VLOOKUP(H39,PartyStorage,2, FALSE),0)</f>
        <v>0</v>
      </c>
      <c r="B39" s="810"/>
      <c r="C39" s="779"/>
      <c r="D39" s="811"/>
      <c r="E39" s="799" t="str">
        <f t="shared" si="1"/>
        <v/>
      </c>
      <c r="F39" s="779"/>
      <c r="G39" s="812"/>
      <c r="H39" s="800"/>
      <c r="I39" s="801"/>
      <c r="M39" s="378"/>
      <c r="N39" s="346">
        <f>IFERROR(VLOOKUP(G39,Ch3_Storage,2, FALSE),0)</f>
        <v>0</v>
      </c>
    </row>
    <row r="40" ht="18.75" customHeight="1">
      <c r="A40" s="598">
        <f>IFERROR(VLOOKUP(H40,PartyStorage,2, FALSE),0)</f>
        <v>0</v>
      </c>
      <c r="B40" s="813"/>
      <c r="C40" s="772"/>
      <c r="D40" s="814"/>
      <c r="E40" s="805" t="str">
        <f t="shared" si="1"/>
        <v/>
      </c>
      <c r="F40" s="772"/>
      <c r="G40" s="815"/>
      <c r="H40" s="807"/>
      <c r="I40" s="808"/>
      <c r="M40" s="809"/>
      <c r="N40" s="346">
        <f>IFERROR(VLOOKUP(G40,Ch3_Storage,2, FALSE),0)</f>
        <v>0</v>
      </c>
    </row>
    <row r="41" ht="18.75" customHeight="1">
      <c r="A41" s="598">
        <f>IFERROR(VLOOKUP(H41,PartyStorage,2, FALSE),0)</f>
        <v>0</v>
      </c>
      <c r="B41" s="810"/>
      <c r="C41" s="779"/>
      <c r="D41" s="811"/>
      <c r="E41" s="799" t="str">
        <f t="shared" si="1"/>
        <v/>
      </c>
      <c r="F41" s="779"/>
      <c r="G41" s="812"/>
      <c r="H41" s="800"/>
      <c r="I41" s="801"/>
      <c r="M41" s="378"/>
      <c r="N41" s="346">
        <f>IFERROR(VLOOKUP(G41,Ch3_Storage,2, FALSE),0)</f>
        <v>0</v>
      </c>
    </row>
    <row r="42" ht="18.75" customHeight="1">
      <c r="A42" s="598">
        <f>IFERROR(VLOOKUP(H42,PartyStorage,2, FALSE),0)</f>
        <v>0</v>
      </c>
      <c r="B42" s="813"/>
      <c r="C42" s="772"/>
      <c r="D42" s="814"/>
      <c r="E42" s="805" t="str">
        <f t="shared" si="1"/>
        <v/>
      </c>
      <c r="F42" s="772"/>
      <c r="G42" s="815"/>
      <c r="H42" s="807"/>
      <c r="I42" s="808"/>
      <c r="M42" s="809"/>
      <c r="N42" s="346">
        <f>IFERROR(VLOOKUP(G42,Ch3_Storage,2, FALSE),0)</f>
        <v>0</v>
      </c>
    </row>
    <row r="43" ht="18.75" customHeight="1">
      <c r="A43" s="598">
        <f>IFERROR(VLOOKUP(H43,PartyStorage,2, FALSE),0)</f>
        <v>0</v>
      </c>
      <c r="B43" s="810"/>
      <c r="C43" s="779"/>
      <c r="D43" s="811"/>
      <c r="E43" s="799" t="str">
        <f t="shared" si="1"/>
        <v/>
      </c>
      <c r="F43" s="779"/>
      <c r="G43" s="812"/>
      <c r="H43" s="800"/>
      <c r="I43" s="801"/>
      <c r="M43" s="378"/>
      <c r="N43" s="346">
        <f>IFERROR(VLOOKUP(G43,Ch3_Storage,2, FALSE),0)</f>
        <v>0</v>
      </c>
    </row>
    <row r="44" ht="18.75" customHeight="1">
      <c r="A44" s="598">
        <f>IFERROR(VLOOKUP(H44,PartyStorage,2, FALSE),0)</f>
        <v>0</v>
      </c>
      <c r="B44" s="813"/>
      <c r="C44" s="772"/>
      <c r="D44" s="814"/>
      <c r="E44" s="805" t="str">
        <f t="shared" si="1"/>
        <v/>
      </c>
      <c r="F44" s="772"/>
      <c r="G44" s="815"/>
      <c r="H44" s="807"/>
      <c r="I44" s="808"/>
      <c r="M44" s="809"/>
      <c r="N44" s="346">
        <f>IFERROR(VLOOKUP(G44,Ch3_Storage,2, FALSE),0)</f>
        <v>0</v>
      </c>
    </row>
    <row r="45" ht="18.75" customHeight="1">
      <c r="A45" s="598">
        <f>IFERROR(VLOOKUP(H45,PartyStorage,2, FALSE),0)</f>
        <v>0</v>
      </c>
      <c r="B45" s="810"/>
      <c r="C45" s="779"/>
      <c r="D45" s="811"/>
      <c r="E45" s="799" t="str">
        <f t="shared" si="1"/>
        <v/>
      </c>
      <c r="F45" s="779"/>
      <c r="G45" s="812"/>
      <c r="H45" s="800"/>
      <c r="I45" s="801"/>
      <c r="M45" s="378"/>
      <c r="N45" s="346">
        <f>IFERROR(VLOOKUP(G45,Ch3_Storage,2, FALSE),0)</f>
        <v>0</v>
      </c>
    </row>
    <row r="46" ht="18.75" customHeight="1">
      <c r="A46" s="598">
        <f>IFERROR(VLOOKUP(H46,PartyStorage,2, FALSE),0)</f>
        <v>0</v>
      </c>
      <c r="B46" s="813"/>
      <c r="C46" s="772"/>
      <c r="D46" s="814"/>
      <c r="E46" s="805" t="str">
        <f t="shared" si="1"/>
        <v/>
      </c>
      <c r="F46" s="772"/>
      <c r="G46" s="815"/>
      <c r="H46" s="807"/>
      <c r="I46" s="808"/>
      <c r="M46" s="809"/>
      <c r="N46" s="346">
        <f>IFERROR(VLOOKUP(G46,Ch3_Storage,2, FALSE),0)</f>
        <v>0</v>
      </c>
    </row>
    <row r="47" ht="18.75" customHeight="1">
      <c r="A47" s="598">
        <f>IFERROR(VLOOKUP(H47,PartyStorage,2, FALSE),0)</f>
        <v>0</v>
      </c>
      <c r="B47" s="810"/>
      <c r="C47" s="779"/>
      <c r="D47" s="811"/>
      <c r="E47" s="799" t="str">
        <f t="shared" si="1"/>
        <v/>
      </c>
      <c r="F47" s="779"/>
      <c r="G47" s="812"/>
      <c r="H47" s="800"/>
      <c r="I47" s="801"/>
      <c r="M47" s="378"/>
      <c r="N47" s="346">
        <f>IFERROR(VLOOKUP(G47,Ch3_Storage,2, FALSE),0)</f>
        <v>0</v>
      </c>
    </row>
    <row r="48" ht="18.75" customHeight="1">
      <c r="A48" s="598">
        <f>IFERROR(VLOOKUP(H48,PartyStorage,2, FALSE),0)</f>
        <v>0</v>
      </c>
      <c r="B48" s="813"/>
      <c r="C48" s="772"/>
      <c r="D48" s="814"/>
      <c r="E48" s="805" t="str">
        <f t="shared" si="1"/>
        <v/>
      </c>
      <c r="F48" s="772"/>
      <c r="G48" s="815"/>
      <c r="H48" s="807"/>
      <c r="I48" s="808"/>
      <c r="M48" s="809"/>
      <c r="N48" s="346">
        <f>IFERROR(VLOOKUP(G48,Ch3_Storage,2, FALSE),0)</f>
        <v>0</v>
      </c>
    </row>
    <row r="49" ht="18.75" customHeight="1">
      <c r="A49" s="598">
        <f>IFERROR(VLOOKUP(H49,PartyStorage,2, FALSE),0)</f>
        <v>0</v>
      </c>
      <c r="B49" s="810"/>
      <c r="C49" s="779"/>
      <c r="D49" s="811"/>
      <c r="E49" s="799" t="str">
        <f t="shared" si="1"/>
        <v/>
      </c>
      <c r="F49" s="779"/>
      <c r="G49" s="812"/>
      <c r="H49" s="800"/>
      <c r="I49" s="801"/>
      <c r="M49" s="378"/>
      <c r="N49" s="346">
        <f>IFERROR(VLOOKUP(G49,Ch3_Storage,2, FALSE),0)</f>
        <v>0</v>
      </c>
    </row>
    <row r="50" ht="18.75" customHeight="1">
      <c r="A50" s="598">
        <f>IFERROR(VLOOKUP(H50,PartyStorage,2, FALSE),0)</f>
        <v>0</v>
      </c>
      <c r="B50" s="813"/>
      <c r="C50" s="772"/>
      <c r="D50" s="814"/>
      <c r="E50" s="805" t="str">
        <f t="shared" si="1"/>
        <v/>
      </c>
      <c r="F50" s="772"/>
      <c r="G50" s="815"/>
      <c r="H50" s="807"/>
      <c r="I50" s="808"/>
      <c r="M50" s="809"/>
      <c r="N50" s="346">
        <f>IFERROR(VLOOKUP(G50,Ch3_Storage,2, FALSE),0)</f>
        <v>0</v>
      </c>
    </row>
    <row r="51" ht="18.75" customHeight="1">
      <c r="A51" s="598">
        <f>IFERROR(VLOOKUP(H51,PartyStorage,2, FALSE),0)</f>
        <v>0</v>
      </c>
      <c r="B51" s="810"/>
      <c r="C51" s="779"/>
      <c r="D51" s="811"/>
      <c r="E51" s="799" t="str">
        <f t="shared" si="1"/>
        <v/>
      </c>
      <c r="F51" s="779"/>
      <c r="G51" s="812"/>
      <c r="H51" s="800"/>
      <c r="I51" s="801"/>
      <c r="M51" s="378"/>
      <c r="N51" s="346">
        <f>IFERROR(VLOOKUP(G51,Ch3_Storage,2, FALSE),0)</f>
        <v>0</v>
      </c>
    </row>
    <row r="52" ht="18.75" customHeight="1">
      <c r="A52" s="598">
        <f>IFERROR(VLOOKUP(H52,PartyStorage,2, FALSE),0)</f>
        <v>0</v>
      </c>
      <c r="B52" s="813"/>
      <c r="C52" s="772"/>
      <c r="D52" s="814"/>
      <c r="E52" s="805" t="str">
        <f t="shared" si="1"/>
        <v/>
      </c>
      <c r="F52" s="772"/>
      <c r="G52" s="815"/>
      <c r="H52" s="807"/>
      <c r="I52" s="808"/>
      <c r="M52" s="809"/>
      <c r="N52" s="346">
        <f>IFERROR(VLOOKUP(G52,Ch3_Storage,2, FALSE),0)</f>
        <v>0</v>
      </c>
    </row>
    <row r="53" ht="18.75" customHeight="1">
      <c r="A53" s="598">
        <f>IFERROR(VLOOKUP(H53,PartyStorage,2, FALSE),0)</f>
        <v>0</v>
      </c>
      <c r="B53" s="810"/>
      <c r="C53" s="779"/>
      <c r="D53" s="811"/>
      <c r="E53" s="799" t="str">
        <f t="shared" si="1"/>
        <v/>
      </c>
      <c r="F53" s="779"/>
      <c r="G53" s="812"/>
      <c r="H53" s="800"/>
      <c r="I53" s="801"/>
      <c r="M53" s="378"/>
      <c r="N53" s="346">
        <f>IFERROR(VLOOKUP(G53,Ch3_Storage,2, FALSE),0)</f>
        <v>0</v>
      </c>
    </row>
    <row r="54" ht="18.75" customHeight="1">
      <c r="A54" s="598">
        <f>IFERROR(VLOOKUP(H54,PartyStorage,2, FALSE),0)</f>
        <v>0</v>
      </c>
      <c r="B54" s="813"/>
      <c r="C54" s="772"/>
      <c r="D54" s="814"/>
      <c r="E54" s="805" t="str">
        <f t="shared" si="1"/>
        <v/>
      </c>
      <c r="F54" s="772"/>
      <c r="G54" s="815"/>
      <c r="H54" s="807"/>
      <c r="I54" s="808"/>
      <c r="M54" s="809"/>
      <c r="N54" s="346">
        <f>IFERROR(VLOOKUP(G54,Ch3_Storage,2, FALSE),0)</f>
        <v>0</v>
      </c>
    </row>
    <row r="55" ht="18.75" customHeight="1">
      <c r="A55" s="598">
        <f>IFERROR(VLOOKUP(H55,PartyStorage,2, FALSE),0)</f>
        <v>0</v>
      </c>
      <c r="B55" s="810"/>
      <c r="C55" s="779"/>
      <c r="D55" s="811"/>
      <c r="E55" s="799" t="str">
        <f t="shared" si="1"/>
        <v/>
      </c>
      <c r="F55" s="779"/>
      <c r="G55" s="812"/>
      <c r="H55" s="800"/>
      <c r="I55" s="801"/>
      <c r="M55" s="378"/>
      <c r="N55" s="346">
        <f>IFERROR(VLOOKUP(G55,Ch3_Storage,2, FALSE),0)</f>
        <v>0</v>
      </c>
    </row>
    <row r="56" ht="18.75" customHeight="1">
      <c r="A56" s="598">
        <f>IFERROR(VLOOKUP(H56,PartyStorage,2, FALSE),0)</f>
        <v>0</v>
      </c>
      <c r="B56" s="813"/>
      <c r="C56" s="772"/>
      <c r="D56" s="814"/>
      <c r="E56" s="805" t="str">
        <f t="shared" si="1"/>
        <v/>
      </c>
      <c r="F56" s="772"/>
      <c r="G56" s="815"/>
      <c r="H56" s="807"/>
      <c r="I56" s="808"/>
      <c r="M56" s="809"/>
      <c r="N56" s="346">
        <f>IFERROR(VLOOKUP(G56,Ch3_Storage,2, FALSE),0)</f>
        <v>0</v>
      </c>
    </row>
    <row r="57" ht="18.75" customHeight="1">
      <c r="A57" s="598">
        <f>IFERROR(VLOOKUP(H57,PartyStorage,2, FALSE),0)</f>
        <v>0</v>
      </c>
      <c r="B57" s="810"/>
      <c r="C57" s="779"/>
      <c r="D57" s="811"/>
      <c r="E57" s="799" t="str">
        <f t="shared" si="1"/>
        <v/>
      </c>
      <c r="F57" s="779"/>
      <c r="G57" s="812"/>
      <c r="H57" s="800"/>
      <c r="I57" s="801"/>
      <c r="M57" s="378"/>
      <c r="N57" s="346">
        <f>IFERROR(VLOOKUP(G57,Ch3_Storage,2, FALSE),0)</f>
        <v>0</v>
      </c>
    </row>
    <row r="58" ht="18.75" customHeight="1">
      <c r="A58" s="598">
        <f>IFERROR(VLOOKUP(H58,PartyStorage,2, FALSE),0)</f>
        <v>0</v>
      </c>
      <c r="B58" s="813"/>
      <c r="C58" s="772"/>
      <c r="D58" s="814"/>
      <c r="E58" s="805" t="str">
        <f t="shared" si="1"/>
        <v/>
      </c>
      <c r="F58" s="772"/>
      <c r="G58" s="815"/>
      <c r="H58" s="807"/>
      <c r="I58" s="808"/>
      <c r="M58" s="809"/>
      <c r="N58" s="346">
        <f>IFERROR(VLOOKUP(G58,Ch3_Storage,2, FALSE),0)</f>
        <v>0</v>
      </c>
    </row>
    <row r="59" ht="18.75" customHeight="1">
      <c r="A59" s="598">
        <f>IFERROR(VLOOKUP(H59,PartyStorage,2, FALSE),0)</f>
        <v>0</v>
      </c>
      <c r="B59" s="810"/>
      <c r="C59" s="779"/>
      <c r="D59" s="811"/>
      <c r="E59" s="799" t="str">
        <f t="shared" si="1"/>
        <v/>
      </c>
      <c r="F59" s="779"/>
      <c r="G59" s="812"/>
      <c r="H59" s="800"/>
      <c r="I59" s="801"/>
      <c r="M59" s="378"/>
      <c r="N59" s="346">
        <f>IFERROR(VLOOKUP(G59,Ch3_Storage,2, FALSE),0)</f>
        <v>0</v>
      </c>
    </row>
    <row r="60" ht="18.75" customHeight="1">
      <c r="A60" s="598">
        <f>IFERROR(VLOOKUP(H60,PartyStorage,2, FALSE),0)</f>
        <v>0</v>
      </c>
      <c r="B60" s="813"/>
      <c r="C60" s="772"/>
      <c r="D60" s="814"/>
      <c r="E60" s="805" t="str">
        <f t="shared" si="1"/>
        <v/>
      </c>
      <c r="F60" s="772"/>
      <c r="G60" s="815"/>
      <c r="H60" s="807"/>
      <c r="I60" s="808"/>
      <c r="M60" s="809"/>
      <c r="N60" s="346">
        <f>IFERROR(VLOOKUP(G60,Ch3_Storage,2, FALSE),0)</f>
        <v>0</v>
      </c>
    </row>
    <row r="61" ht="18.75" customHeight="1">
      <c r="A61" s="598">
        <f>IFERROR(VLOOKUP(H61,PartyStorage,2, FALSE),0)</f>
        <v>0</v>
      </c>
      <c r="B61" s="810"/>
      <c r="C61" s="779"/>
      <c r="D61" s="811"/>
      <c r="E61" s="799" t="str">
        <f t="shared" si="1"/>
        <v/>
      </c>
      <c r="F61" s="779"/>
      <c r="G61" s="812"/>
      <c r="H61" s="800"/>
      <c r="I61" s="801"/>
      <c r="M61" s="378"/>
      <c r="N61" s="346">
        <f>IFERROR(VLOOKUP(G61,Ch3_Storage,2, FALSE),0)</f>
        <v>0</v>
      </c>
    </row>
    <row r="62" ht="18.75" customHeight="1">
      <c r="A62" s="598">
        <f>IFERROR(VLOOKUP(H62,PartyStorage,2, FALSE),0)</f>
        <v>0</v>
      </c>
      <c r="B62" s="813"/>
      <c r="C62" s="772"/>
      <c r="D62" s="814"/>
      <c r="E62" s="805" t="str">
        <f t="shared" si="1"/>
        <v/>
      </c>
      <c r="F62" s="772"/>
      <c r="G62" s="815"/>
      <c r="H62" s="807"/>
      <c r="I62" s="808"/>
      <c r="M62" s="809"/>
      <c r="N62" s="346">
        <f>IFERROR(VLOOKUP(G62,Ch3_Storage,2, FALSE),0)</f>
        <v>0</v>
      </c>
    </row>
    <row r="63" ht="18.75" customHeight="1">
      <c r="A63" s="598">
        <f>IFERROR(VLOOKUP(H63,PartyStorage,2, FALSE),0)</f>
        <v>0</v>
      </c>
      <c r="B63" s="810"/>
      <c r="C63" s="779"/>
      <c r="D63" s="811"/>
      <c r="E63" s="799" t="str">
        <f t="shared" si="1"/>
        <v/>
      </c>
      <c r="F63" s="779"/>
      <c r="G63" s="812"/>
      <c r="H63" s="800"/>
      <c r="I63" s="801"/>
      <c r="M63" s="378"/>
      <c r="N63" s="346">
        <f>IFERROR(VLOOKUP(G63,Ch3_Storage,2, FALSE),0)</f>
        <v>0</v>
      </c>
    </row>
    <row r="64" ht="18.75" customHeight="1">
      <c r="A64" s="598">
        <f>IFERROR(VLOOKUP(H64,PartyStorage,2, FALSE),0)</f>
        <v>0</v>
      </c>
      <c r="B64" s="813"/>
      <c r="C64" s="772"/>
      <c r="D64" s="814"/>
      <c r="E64" s="805" t="str">
        <f t="shared" si="1"/>
        <v/>
      </c>
      <c r="F64" s="772"/>
      <c r="G64" s="815"/>
      <c r="H64" s="807"/>
      <c r="I64" s="808"/>
      <c r="M64" s="809"/>
      <c r="N64" s="346">
        <f>IFERROR(VLOOKUP(G64,Ch3_Storage,2, FALSE),0)</f>
        <v>0</v>
      </c>
    </row>
    <row r="65" ht="18.75" customHeight="1">
      <c r="A65" s="598">
        <f>IFERROR(VLOOKUP(H65,PartyStorage,2, FALSE),0)</f>
        <v>0</v>
      </c>
      <c r="B65" s="810"/>
      <c r="C65" s="779"/>
      <c r="D65" s="811"/>
      <c r="E65" s="799" t="str">
        <f t="shared" si="1"/>
        <v/>
      </c>
      <c r="F65" s="779"/>
      <c r="G65" s="812"/>
      <c r="H65" s="800"/>
      <c r="I65" s="801"/>
      <c r="M65" s="378"/>
      <c r="N65" s="346">
        <f>IFERROR(VLOOKUP(G65,Ch3_Storage,2, FALSE),0)</f>
        <v>0</v>
      </c>
    </row>
    <row r="66" ht="18.75" customHeight="1">
      <c r="A66" s="598">
        <f>IFERROR(VLOOKUP(H66,PartyStorage,2, FALSE),0)</f>
        <v>0</v>
      </c>
      <c r="B66" s="813"/>
      <c r="C66" s="772"/>
      <c r="D66" s="814"/>
      <c r="E66" s="805" t="str">
        <f t="shared" si="1"/>
        <v/>
      </c>
      <c r="F66" s="772"/>
      <c r="G66" s="815"/>
      <c r="H66" s="807"/>
      <c r="I66" s="808"/>
      <c r="M66" s="809"/>
      <c r="N66" s="346">
        <f>IFERROR(VLOOKUP(G66,Ch3_Storage,2, FALSE),0)</f>
        <v>0</v>
      </c>
    </row>
    <row r="67" ht="18.75" customHeight="1">
      <c r="A67" s="598">
        <f>IFERROR(VLOOKUP(H67,PartyStorage,2, FALSE),0)</f>
        <v>0</v>
      </c>
      <c r="B67" s="810"/>
      <c r="C67" s="779"/>
      <c r="D67" s="811"/>
      <c r="E67" s="799" t="str">
        <f t="shared" si="1"/>
        <v/>
      </c>
      <c r="F67" s="779"/>
      <c r="G67" s="812"/>
      <c r="H67" s="800"/>
      <c r="I67" s="801"/>
      <c r="M67" s="378"/>
      <c r="N67" s="346">
        <f>IFERROR(VLOOKUP(G67,Ch3_Storage,2, FALSE),0)</f>
        <v>0</v>
      </c>
    </row>
    <row r="68" ht="18.75" customHeight="1">
      <c r="A68" s="598">
        <f>IFERROR(VLOOKUP(H68,PartyStorage,2, FALSE),0)</f>
        <v>0</v>
      </c>
      <c r="B68" s="813"/>
      <c r="C68" s="772"/>
      <c r="D68" s="814"/>
      <c r="E68" s="805" t="str">
        <f t="shared" si="1"/>
        <v/>
      </c>
      <c r="F68" s="772"/>
      <c r="G68" s="815"/>
      <c r="H68" s="807"/>
      <c r="I68" s="808"/>
      <c r="M68" s="809"/>
      <c r="N68" s="346">
        <f>IFERROR(VLOOKUP(G68,Ch3_Storage,2, FALSE),0)</f>
        <v>0</v>
      </c>
    </row>
    <row r="69" ht="18.75" customHeight="1">
      <c r="A69" s="598">
        <f>IFERROR(VLOOKUP(H69,PartyStorage,2, FALSE),0)</f>
        <v>0</v>
      </c>
      <c r="B69" s="810"/>
      <c r="C69" s="779"/>
      <c r="D69" s="811"/>
      <c r="E69" s="799" t="str">
        <f t="shared" si="1"/>
        <v/>
      </c>
      <c r="F69" s="779"/>
      <c r="G69" s="812"/>
      <c r="H69" s="800"/>
      <c r="I69" s="801"/>
      <c r="M69" s="378"/>
      <c r="N69" s="346">
        <f>IFERROR(VLOOKUP(G69,Ch3_Storage,2, FALSE),0)</f>
        <v>0</v>
      </c>
    </row>
    <row r="70" ht="18.75" customHeight="1">
      <c r="A70" s="598">
        <f>IFERROR(VLOOKUP(H70,PartyStorage,2, FALSE),0)</f>
        <v>0</v>
      </c>
      <c r="B70" s="813"/>
      <c r="C70" s="772"/>
      <c r="D70" s="814"/>
      <c r="E70" s="805" t="str">
        <f t="shared" si="1"/>
        <v/>
      </c>
      <c r="F70" s="772"/>
      <c r="G70" s="815"/>
      <c r="H70" s="807"/>
      <c r="I70" s="808"/>
      <c r="M70" s="809"/>
      <c r="N70" s="346">
        <f>IFERROR(VLOOKUP(G70,Ch3_Storage,2, FALSE),0)</f>
        <v>0</v>
      </c>
    </row>
    <row r="71" ht="18.75" customHeight="1">
      <c r="A71" s="598">
        <f>IFERROR(VLOOKUP(H71,PartyStorage,2, FALSE),0)</f>
        <v>0</v>
      </c>
      <c r="B71" s="810"/>
      <c r="C71" s="779"/>
      <c r="D71" s="811"/>
      <c r="E71" s="799" t="str">
        <f t="shared" si="1"/>
        <v/>
      </c>
      <c r="F71" s="779"/>
      <c r="G71" s="812"/>
      <c r="H71" s="800"/>
      <c r="I71" s="801"/>
      <c r="M71" s="378"/>
      <c r="N71" s="346">
        <f>IFERROR(VLOOKUP(G71,Ch3_Storage,2, FALSE),0)</f>
        <v>0</v>
      </c>
    </row>
    <row r="72" ht="18.75" customHeight="1">
      <c r="A72" s="598">
        <f>IFERROR(VLOOKUP(H72,PartyStorage,2, FALSE),0)</f>
        <v>0</v>
      </c>
      <c r="B72" s="813"/>
      <c r="C72" s="772"/>
      <c r="D72" s="814"/>
      <c r="E72" s="805" t="str">
        <f t="shared" si="1"/>
        <v/>
      </c>
      <c r="F72" s="772"/>
      <c r="G72" s="815"/>
      <c r="H72" s="807"/>
      <c r="I72" s="808"/>
      <c r="M72" s="809"/>
      <c r="N72" s="346">
        <f>IFERROR(VLOOKUP(G72,Ch3_Storage,2, FALSE),0)</f>
        <v>0</v>
      </c>
    </row>
    <row r="73" ht="18.75" customHeight="1">
      <c r="A73" s="598">
        <f>IFERROR(VLOOKUP(H73,PartyStorage,2, FALSE),0)</f>
        <v>0</v>
      </c>
      <c r="B73" s="810"/>
      <c r="C73" s="779"/>
      <c r="D73" s="811"/>
      <c r="E73" s="799" t="str">
        <f t="shared" si="1"/>
        <v/>
      </c>
      <c r="F73" s="779"/>
      <c r="G73" s="812"/>
      <c r="H73" s="800"/>
      <c r="I73" s="801"/>
      <c r="M73" s="378"/>
      <c r="N73" s="346">
        <f>IFERROR(VLOOKUP(G73,Ch3_Storage,2, FALSE),0)</f>
        <v>0</v>
      </c>
    </row>
    <row r="74" ht="18.75" customHeight="1">
      <c r="A74" s="598">
        <f>IFERROR(VLOOKUP(H74,PartyStorage,2, FALSE),0)</f>
        <v>0</v>
      </c>
      <c r="B74" s="813"/>
      <c r="C74" s="772"/>
      <c r="D74" s="814"/>
      <c r="E74" s="805" t="str">
        <f t="shared" si="1"/>
        <v/>
      </c>
      <c r="F74" s="772"/>
      <c r="G74" s="815"/>
      <c r="H74" s="807"/>
      <c r="I74" s="808"/>
      <c r="M74" s="809"/>
      <c r="N74" s="346">
        <f>IFERROR(VLOOKUP(G74,Ch3_Storage,2, FALSE),0)</f>
        <v>0</v>
      </c>
    </row>
    <row r="75" ht="18.75" customHeight="1">
      <c r="A75" s="598">
        <f>IFERROR(VLOOKUP(H75,PartyStorage,2, FALSE),0)</f>
        <v>0</v>
      </c>
      <c r="B75" s="810"/>
      <c r="C75" s="779"/>
      <c r="D75" s="811"/>
      <c r="E75" s="799" t="str">
        <f t="shared" si="1"/>
        <v/>
      </c>
      <c r="F75" s="779"/>
      <c r="G75" s="812"/>
      <c r="H75" s="800"/>
      <c r="I75" s="801"/>
      <c r="M75" s="378"/>
      <c r="N75" s="346">
        <f>IFERROR(VLOOKUP(G75,Ch3_Storage,2, FALSE),0)</f>
        <v>0</v>
      </c>
    </row>
    <row r="76" ht="18.75" customHeight="1">
      <c r="A76" s="598">
        <f>IFERROR(VLOOKUP(H76,PartyStorage,2, FALSE),0)</f>
        <v>0</v>
      </c>
      <c r="B76" s="813"/>
      <c r="C76" s="772"/>
      <c r="D76" s="814"/>
      <c r="E76" s="805" t="str">
        <f t="shared" si="1"/>
        <v/>
      </c>
      <c r="F76" s="772"/>
      <c r="G76" s="815"/>
      <c r="H76" s="807"/>
      <c r="I76" s="808"/>
      <c r="M76" s="809"/>
      <c r="N76" s="346">
        <f>IFERROR(VLOOKUP(G76,Ch3_Storage,2, FALSE),0)</f>
        <v>0</v>
      </c>
    </row>
    <row r="77" ht="18.75" customHeight="1">
      <c r="A77" s="598">
        <f>IFERROR(VLOOKUP(H77,PartyStorage,2, FALSE),0)</f>
        <v>0</v>
      </c>
      <c r="B77" s="810"/>
      <c r="C77" s="779"/>
      <c r="D77" s="811"/>
      <c r="E77" s="799" t="str">
        <f t="shared" si="1"/>
        <v/>
      </c>
      <c r="F77" s="779"/>
      <c r="G77" s="812"/>
      <c r="H77" s="800"/>
      <c r="I77" s="801"/>
      <c r="M77" s="378"/>
      <c r="N77" s="346">
        <f>IFERROR(VLOOKUP(G77,Ch3_Storage,2, FALSE),0)</f>
        <v>0</v>
      </c>
    </row>
    <row r="78" ht="18.75" customHeight="1">
      <c r="A78" s="598">
        <f>IFERROR(VLOOKUP(H78,PartyStorage,2, FALSE),0)</f>
        <v>0</v>
      </c>
      <c r="B78" s="813"/>
      <c r="C78" s="772"/>
      <c r="D78" s="814"/>
      <c r="E78" s="805" t="str">
        <f t="shared" si="1"/>
        <v/>
      </c>
      <c r="F78" s="772"/>
      <c r="G78" s="815"/>
      <c r="H78" s="807"/>
      <c r="I78" s="808"/>
      <c r="M78" s="809"/>
      <c r="N78" s="346">
        <f>IFERROR(VLOOKUP(G78,Ch3_Storage,2, FALSE),0)</f>
        <v>0</v>
      </c>
    </row>
    <row r="79" ht="18.75" customHeight="1">
      <c r="A79" s="598">
        <f>IFERROR(VLOOKUP(H79,PartyStorage,2, FALSE),0)</f>
        <v>0</v>
      </c>
      <c r="B79" s="810"/>
      <c r="C79" s="779"/>
      <c r="D79" s="811"/>
      <c r="E79" s="799" t="str">
        <f t="shared" si="1"/>
        <v/>
      </c>
      <c r="F79" s="779"/>
      <c r="G79" s="812"/>
      <c r="H79" s="800"/>
      <c r="I79" s="801"/>
      <c r="M79" s="378"/>
      <c r="N79" s="346">
        <f>IFERROR(VLOOKUP(G79,Ch3_Storage,2, FALSE),0)</f>
        <v>0</v>
      </c>
    </row>
    <row r="80" ht="18.75" customHeight="1">
      <c r="A80" s="598">
        <f>IFERROR(VLOOKUP(H80,PartyStorage,2, FALSE),0)</f>
        <v>0</v>
      </c>
      <c r="B80" s="813"/>
      <c r="C80" s="772"/>
      <c r="D80" s="814"/>
      <c r="E80" s="805" t="str">
        <f t="shared" si="1"/>
        <v/>
      </c>
      <c r="F80" s="772"/>
      <c r="G80" s="815"/>
      <c r="H80" s="807"/>
      <c r="I80" s="808"/>
      <c r="M80" s="809"/>
      <c r="N80" s="346">
        <f>IFERROR(VLOOKUP(G80,Ch3_Storage,2, FALSE),0)</f>
        <v>0</v>
      </c>
    </row>
    <row r="81" ht="18.75" customHeight="1">
      <c r="A81" s="598">
        <f>IFERROR(VLOOKUP(H81,PartyStorage,2, FALSE),0)</f>
        <v>0</v>
      </c>
      <c r="B81" s="810"/>
      <c r="C81" s="779"/>
      <c r="D81" s="811"/>
      <c r="E81" s="799" t="str">
        <f t="shared" si="1"/>
        <v/>
      </c>
      <c r="F81" s="779"/>
      <c r="G81" s="812"/>
      <c r="H81" s="800"/>
      <c r="I81" s="801"/>
      <c r="M81" s="378"/>
      <c r="N81" s="346">
        <f>IFERROR(VLOOKUP(G81,Ch3_Storage,2, FALSE),0)</f>
        <v>0</v>
      </c>
    </row>
    <row r="82" ht="18.75" customHeight="1">
      <c r="A82" s="598">
        <f>IFERROR(VLOOKUP(H82,PartyStorage,2, FALSE),0)</f>
        <v>0</v>
      </c>
      <c r="B82" s="813"/>
      <c r="C82" s="772"/>
      <c r="D82" s="814"/>
      <c r="E82" s="805" t="str">
        <f t="shared" si="1"/>
        <v/>
      </c>
      <c r="F82" s="772"/>
      <c r="G82" s="815"/>
      <c r="H82" s="807"/>
      <c r="I82" s="808"/>
      <c r="M82" s="809"/>
      <c r="N82" s="346">
        <f>IFERROR(VLOOKUP(G82,Ch3_Storage,2, FALSE),0)</f>
        <v>0</v>
      </c>
    </row>
    <row r="83" ht="18.75" customHeight="1">
      <c r="A83" s="598">
        <f>IFERROR(VLOOKUP(H83,PartyStorage,2, FALSE),0)</f>
        <v>0</v>
      </c>
      <c r="B83" s="810"/>
      <c r="C83" s="779"/>
      <c r="D83" s="811"/>
      <c r="E83" s="799" t="str">
        <f t="shared" si="1"/>
        <v/>
      </c>
      <c r="F83" s="779"/>
      <c r="G83" s="812"/>
      <c r="H83" s="800"/>
      <c r="I83" s="801"/>
      <c r="M83" s="378"/>
      <c r="N83" s="346">
        <f>IFERROR(VLOOKUP(G83,Ch3_Storage,2, FALSE),0)</f>
        <v>0</v>
      </c>
    </row>
    <row r="84" ht="18.75" customHeight="1">
      <c r="A84" s="598">
        <f>IFERROR(VLOOKUP(H84,PartyStorage,2, FALSE),0)</f>
        <v>0</v>
      </c>
      <c r="B84" s="813"/>
      <c r="C84" s="772"/>
      <c r="D84" s="814"/>
      <c r="E84" s="805" t="str">
        <f t="shared" si="1"/>
        <v/>
      </c>
      <c r="F84" s="772"/>
      <c r="G84" s="815"/>
      <c r="H84" s="807"/>
      <c r="I84" s="808"/>
      <c r="M84" s="809"/>
      <c r="N84" s="346">
        <f>IFERROR(VLOOKUP(G84,Ch3_Storage,2, FALSE),0)</f>
        <v>0</v>
      </c>
    </row>
    <row r="85" ht="18.75" customHeight="1">
      <c r="A85" s="598">
        <f>IFERROR(VLOOKUP(H85,PartyStorage,2, FALSE),0)</f>
        <v>0</v>
      </c>
      <c r="B85" s="810"/>
      <c r="C85" s="779"/>
      <c r="D85" s="811"/>
      <c r="E85" s="799" t="str">
        <f t="shared" si="1"/>
        <v/>
      </c>
      <c r="F85" s="779"/>
      <c r="G85" s="812"/>
      <c r="H85" s="800"/>
      <c r="I85" s="801"/>
      <c r="M85" s="378"/>
      <c r="N85" s="346">
        <f>IFERROR(VLOOKUP(G85,Ch3_Storage,2, FALSE),0)</f>
        <v>0</v>
      </c>
    </row>
    <row r="86" ht="18.75" customHeight="1">
      <c r="A86" s="598">
        <f>IFERROR(VLOOKUP(H86,PartyStorage,2, FALSE),0)</f>
        <v>0</v>
      </c>
      <c r="B86" s="813"/>
      <c r="C86" s="772"/>
      <c r="D86" s="814"/>
      <c r="E86" s="805" t="str">
        <f t="shared" si="1"/>
        <v/>
      </c>
      <c r="F86" s="772"/>
      <c r="G86" s="815"/>
      <c r="H86" s="807"/>
      <c r="I86" s="808"/>
      <c r="M86" s="809"/>
      <c r="N86" s="346">
        <f>IFERROR(VLOOKUP(G86,Ch3_Storage,2, FALSE),0)</f>
        <v>0</v>
      </c>
    </row>
    <row r="87" ht="18.75" customHeight="1">
      <c r="A87" s="598">
        <f>IFERROR(VLOOKUP(H87,PartyStorage,2, FALSE),0)</f>
        <v>0</v>
      </c>
      <c r="B87" s="810"/>
      <c r="C87" s="779"/>
      <c r="D87" s="811"/>
      <c r="E87" s="799" t="str">
        <f t="shared" si="1"/>
        <v/>
      </c>
      <c r="F87" s="779"/>
      <c r="G87" s="812"/>
      <c r="H87" s="800"/>
      <c r="I87" s="801"/>
      <c r="M87" s="378"/>
      <c r="N87" s="346">
        <f>IFERROR(VLOOKUP(G87,Ch3_Storage,2, FALSE),0)</f>
        <v>0</v>
      </c>
    </row>
    <row r="88" ht="18.75" customHeight="1">
      <c r="A88" s="598">
        <f>IFERROR(VLOOKUP(H88,PartyStorage,2, FALSE),0)</f>
        <v>0</v>
      </c>
      <c r="B88" s="813"/>
      <c r="C88" s="772"/>
      <c r="D88" s="814"/>
      <c r="E88" s="805" t="str">
        <f t="shared" si="1"/>
        <v/>
      </c>
      <c r="F88" s="772"/>
      <c r="G88" s="815"/>
      <c r="H88" s="807"/>
      <c r="I88" s="808"/>
      <c r="M88" s="809"/>
      <c r="N88" s="346">
        <f>IFERROR(VLOOKUP(G88,Ch3_Storage,2, FALSE),0)</f>
        <v>0</v>
      </c>
    </row>
    <row r="89" ht="18.75" customHeight="1">
      <c r="A89" s="598">
        <f>IFERROR(VLOOKUP(H89,PartyStorage,2, FALSE),0)</f>
        <v>0</v>
      </c>
      <c r="B89" s="810"/>
      <c r="C89" s="779"/>
      <c r="D89" s="811"/>
      <c r="E89" s="799" t="str">
        <f t="shared" si="1"/>
        <v/>
      </c>
      <c r="F89" s="779"/>
      <c r="G89" s="812"/>
      <c r="H89" s="800"/>
      <c r="I89" s="801"/>
      <c r="M89" s="378"/>
      <c r="N89" s="346">
        <f>IFERROR(VLOOKUP(G89,Ch3_Storage,2, FALSE),0)</f>
        <v>0</v>
      </c>
    </row>
    <row r="90" ht="18.75" customHeight="1">
      <c r="A90" s="598">
        <f>IFERROR(VLOOKUP(H90,PartyStorage,2, FALSE),0)</f>
        <v>0</v>
      </c>
      <c r="B90" s="813"/>
      <c r="C90" s="772"/>
      <c r="D90" s="814"/>
      <c r="E90" s="805" t="str">
        <f t="shared" si="1"/>
        <v/>
      </c>
      <c r="F90" s="772"/>
      <c r="G90" s="815"/>
      <c r="H90" s="807"/>
      <c r="I90" s="808"/>
      <c r="M90" s="809"/>
      <c r="N90" s="346">
        <f>IFERROR(VLOOKUP(G90,Ch3_Storage,2, FALSE),0)</f>
        <v>0</v>
      </c>
    </row>
    <row r="91" ht="18.75" customHeight="1">
      <c r="A91" s="598">
        <f>IFERROR(VLOOKUP(H91,PartyStorage,2, FALSE),0)</f>
        <v>0</v>
      </c>
      <c r="B91" s="810"/>
      <c r="C91" s="779"/>
      <c r="D91" s="811"/>
      <c r="E91" s="799" t="str">
        <f t="shared" si="1"/>
        <v/>
      </c>
      <c r="F91" s="779"/>
      <c r="G91" s="812"/>
      <c r="H91" s="800"/>
      <c r="I91" s="801"/>
      <c r="M91" s="378"/>
      <c r="N91" s="346">
        <f>IFERROR(VLOOKUP(G91,Ch3_Storage,2, FALSE),0)</f>
        <v>0</v>
      </c>
    </row>
    <row r="92" ht="18.75" customHeight="1">
      <c r="A92" s="598">
        <f>IFERROR(VLOOKUP(H92,PartyStorage,2, FALSE),0)</f>
        <v>0</v>
      </c>
      <c r="B92" s="813"/>
      <c r="C92" s="772"/>
      <c r="D92" s="814"/>
      <c r="E92" s="805" t="str">
        <f t="shared" si="1"/>
        <v/>
      </c>
      <c r="F92" s="772"/>
      <c r="G92" s="815"/>
      <c r="H92" s="807"/>
      <c r="I92" s="808"/>
      <c r="M92" s="809"/>
      <c r="N92" s="346">
        <f>IFERROR(VLOOKUP(G92,Ch3_Storage,2, FALSE),0)</f>
        <v>0</v>
      </c>
    </row>
    <row r="93" ht="18.75" customHeight="1">
      <c r="A93" s="598">
        <f>IFERROR(VLOOKUP(H93,PartyStorage,2, FALSE),0)</f>
        <v>0</v>
      </c>
      <c r="B93" s="810"/>
      <c r="C93" s="779"/>
      <c r="D93" s="811"/>
      <c r="E93" s="799" t="str">
        <f t="shared" si="1"/>
        <v/>
      </c>
      <c r="F93" s="779"/>
      <c r="G93" s="812"/>
      <c r="H93" s="800"/>
      <c r="I93" s="801"/>
      <c r="M93" s="378"/>
      <c r="N93" s="346">
        <f>IFERROR(VLOOKUP(G93,Ch3_Storage,2, FALSE),0)</f>
        <v>0</v>
      </c>
    </row>
    <row r="94" ht="18.75" customHeight="1">
      <c r="A94" s="598">
        <f>IFERROR(VLOOKUP(H94,PartyStorage,2, FALSE),0)</f>
        <v>0</v>
      </c>
      <c r="B94" s="813"/>
      <c r="C94" s="772"/>
      <c r="D94" s="814"/>
      <c r="E94" s="805" t="str">
        <f t="shared" si="1"/>
        <v/>
      </c>
      <c r="F94" s="772"/>
      <c r="G94" s="815"/>
      <c r="H94" s="807"/>
      <c r="I94" s="808"/>
      <c r="M94" s="809"/>
      <c r="N94" s="346">
        <f>IFERROR(VLOOKUP(G94,Ch3_Storage,2, FALSE),0)</f>
        <v>0</v>
      </c>
    </row>
    <row r="95" ht="18.75" customHeight="1">
      <c r="A95" s="598">
        <f>IFERROR(VLOOKUP(H95,PartyStorage,2, FALSE),0)</f>
        <v>0</v>
      </c>
      <c r="B95" s="810"/>
      <c r="C95" s="779"/>
      <c r="D95" s="811"/>
      <c r="E95" s="799" t="str">
        <f t="shared" si="1"/>
        <v/>
      </c>
      <c r="F95" s="779"/>
      <c r="G95" s="812"/>
      <c r="H95" s="800"/>
      <c r="I95" s="801"/>
      <c r="M95" s="378"/>
      <c r="N95" s="346">
        <f>IFERROR(VLOOKUP(G95,Ch3_Storage,2, FALSE),0)</f>
        <v>0</v>
      </c>
    </row>
    <row r="96" ht="18.75" customHeight="1">
      <c r="A96" s="598">
        <f>IFERROR(VLOOKUP(H96,PartyStorage,2, FALSE),0)</f>
        <v>0</v>
      </c>
      <c r="B96" s="813"/>
      <c r="C96" s="772"/>
      <c r="D96" s="814"/>
      <c r="E96" s="805" t="str">
        <f t="shared" si="1"/>
        <v/>
      </c>
      <c r="F96" s="772"/>
      <c r="G96" s="815"/>
      <c r="H96" s="807"/>
      <c r="I96" s="808"/>
      <c r="M96" s="809"/>
      <c r="N96" s="346">
        <f>IFERROR(VLOOKUP(G96,Ch3_Storage,2, FALSE),0)</f>
        <v>0</v>
      </c>
    </row>
    <row r="97" ht="18.75" customHeight="1">
      <c r="A97" s="598">
        <f>IFERROR(VLOOKUP(H97,PartyStorage,2, FALSE),0)</f>
        <v>0</v>
      </c>
      <c r="B97" s="810"/>
      <c r="C97" s="779"/>
      <c r="D97" s="811"/>
      <c r="E97" s="799" t="str">
        <f t="shared" si="1"/>
        <v/>
      </c>
      <c r="F97" s="779"/>
      <c r="G97" s="812"/>
      <c r="H97" s="800"/>
      <c r="I97" s="801"/>
      <c r="M97" s="378"/>
      <c r="N97" s="346">
        <f>IFERROR(VLOOKUP(G97,Ch3_Storage,2, FALSE),0)</f>
        <v>0</v>
      </c>
    </row>
    <row r="98" ht="18.75" customHeight="1">
      <c r="A98" s="598">
        <f>IFERROR(VLOOKUP(H98,PartyStorage,2, FALSE),0)</f>
        <v>0</v>
      </c>
      <c r="B98" s="813"/>
      <c r="C98" s="772"/>
      <c r="D98" s="814"/>
      <c r="E98" s="805" t="str">
        <f t="shared" si="1"/>
        <v/>
      </c>
      <c r="F98" s="772"/>
      <c r="G98" s="815"/>
      <c r="H98" s="807"/>
      <c r="I98" s="808"/>
      <c r="M98" s="809"/>
      <c r="N98" s="346">
        <f>IFERROR(VLOOKUP(G98,Ch3_Storage,2, FALSE),0)</f>
        <v>0</v>
      </c>
    </row>
    <row r="99" ht="18.75" customHeight="1">
      <c r="A99" s="598">
        <f>IFERROR(VLOOKUP(H99,PartyStorage,2, FALSE),0)</f>
        <v>0</v>
      </c>
      <c r="B99" s="810"/>
      <c r="C99" s="779"/>
      <c r="D99" s="811"/>
      <c r="E99" s="799" t="str">
        <f t="shared" si="1"/>
        <v/>
      </c>
      <c r="F99" s="779"/>
      <c r="G99" s="812"/>
      <c r="H99" s="800"/>
      <c r="I99" s="801"/>
      <c r="M99" s="378"/>
      <c r="N99" s="346">
        <f>IFERROR(VLOOKUP(G99,Ch3_Storage,2, FALSE),0)</f>
        <v>0</v>
      </c>
    </row>
    <row r="100" ht="18.75" customHeight="1">
      <c r="A100" s="598">
        <f>IFERROR(VLOOKUP(H100,PartyStorage,2, FALSE),0)</f>
        <v>0</v>
      </c>
      <c r="B100" s="813"/>
      <c r="C100" s="772"/>
      <c r="D100" s="814"/>
      <c r="E100" s="805" t="str">
        <f t="shared" si="1"/>
        <v/>
      </c>
      <c r="F100" s="772"/>
      <c r="G100" s="815"/>
      <c r="H100" s="807"/>
      <c r="I100" s="808"/>
      <c r="M100" s="809"/>
      <c r="N100" s="346">
        <f>IFERROR(VLOOKUP(G100,Ch3_Storage,2, FALSE),0)</f>
        <v>0</v>
      </c>
    </row>
    <row r="101" ht="18.75" customHeight="1">
      <c r="A101" s="598">
        <f>IFERROR(VLOOKUP(H101,PartyStorage,2, FALSE),0)</f>
        <v>0</v>
      </c>
      <c r="B101" s="810"/>
      <c r="C101" s="779"/>
      <c r="D101" s="811"/>
      <c r="E101" s="799" t="str">
        <f t="shared" si="1"/>
        <v/>
      </c>
      <c r="F101" s="779"/>
      <c r="G101" s="812"/>
      <c r="H101" s="800"/>
      <c r="I101" s="801"/>
      <c r="M101" s="378"/>
      <c r="N101" s="346">
        <f>IFERROR(VLOOKUP(G101,Ch3_Storage,2, FALSE),0)</f>
        <v>0</v>
      </c>
    </row>
    <row r="102" ht="18.75" customHeight="1">
      <c r="A102" s="598">
        <f>IFERROR(VLOOKUP(H102,PartyStorage,2, FALSE),0)</f>
        <v>0</v>
      </c>
      <c r="B102" s="813"/>
      <c r="C102" s="772"/>
      <c r="D102" s="814"/>
      <c r="E102" s="805" t="str">
        <f t="shared" si="1"/>
        <v/>
      </c>
      <c r="F102" s="772"/>
      <c r="G102" s="815"/>
      <c r="H102" s="807"/>
      <c r="I102" s="808"/>
      <c r="M102" s="809"/>
      <c r="N102" s="346">
        <f>IFERROR(VLOOKUP(G102,Ch3_Storage,2, FALSE),0)</f>
        <v>0</v>
      </c>
    </row>
    <row r="103" ht="18.75" customHeight="1">
      <c r="A103" s="598">
        <f>IFERROR(VLOOKUP(H103,PartyStorage,2, FALSE),0)</f>
        <v>0</v>
      </c>
      <c r="B103" s="810"/>
      <c r="C103" s="779"/>
      <c r="D103" s="811"/>
      <c r="E103" s="799" t="str">
        <f t="shared" si="1"/>
        <v/>
      </c>
      <c r="F103" s="779"/>
      <c r="G103" s="812"/>
      <c r="H103" s="800"/>
      <c r="I103" s="801"/>
      <c r="M103" s="378"/>
      <c r="N103" s="346">
        <f>IFERROR(VLOOKUP(G103,Ch3_Storage,2, FALSE),0)</f>
        <v>0</v>
      </c>
    </row>
    <row r="104" ht="18.75" customHeight="1">
      <c r="A104" s="598">
        <f>IFERROR(VLOOKUP(H104,PartyStorage,2, FALSE),0)</f>
        <v>0</v>
      </c>
      <c r="B104" s="813"/>
      <c r="C104" s="772"/>
      <c r="D104" s="814"/>
      <c r="E104" s="805" t="str">
        <f t="shared" si="1"/>
        <v/>
      </c>
      <c r="F104" s="772"/>
      <c r="G104" s="815"/>
      <c r="H104" s="807"/>
      <c r="I104" s="808"/>
      <c r="M104" s="809"/>
      <c r="N104" s="346">
        <f>IFERROR(VLOOKUP(G104,Ch3_Storage,2, FALSE),0)</f>
        <v>0</v>
      </c>
    </row>
    <row r="105" ht="18.75" customHeight="1">
      <c r="A105" s="598">
        <f>IFERROR(VLOOKUP(H105,PartyStorage,2, FALSE),0)</f>
        <v>0</v>
      </c>
      <c r="B105" s="810"/>
      <c r="C105" s="779"/>
      <c r="D105" s="811"/>
      <c r="E105" s="799" t="str">
        <f t="shared" si="1"/>
        <v/>
      </c>
      <c r="F105" s="779"/>
      <c r="G105" s="812"/>
      <c r="H105" s="800"/>
      <c r="I105" s="801"/>
      <c r="M105" s="378"/>
      <c r="N105" s="346">
        <f>IFERROR(VLOOKUP(G105,Ch3_Storage,2, FALSE),0)</f>
        <v>0</v>
      </c>
    </row>
    <row r="106" ht="18.75" customHeight="1">
      <c r="A106" s="598">
        <f>IFERROR(VLOOKUP(H106,PartyStorage,2, FALSE),0)</f>
        <v>0</v>
      </c>
      <c r="B106" s="813"/>
      <c r="C106" s="772"/>
      <c r="D106" s="814"/>
      <c r="E106" s="805" t="str">
        <f t="shared" si="1"/>
        <v/>
      </c>
      <c r="F106" s="772"/>
      <c r="G106" s="815"/>
      <c r="H106" s="807"/>
      <c r="I106" s="808"/>
      <c r="M106" s="809"/>
      <c r="N106" s="346">
        <f>IFERROR(VLOOKUP(G106,Ch3_Storage,2, FALSE),0)</f>
        <v>0</v>
      </c>
    </row>
    <row r="107" ht="18.75" customHeight="1">
      <c r="A107" s="598">
        <f>IFERROR(VLOOKUP(H107,PartyStorage,2, FALSE),0)</f>
        <v>0</v>
      </c>
      <c r="B107" s="810"/>
      <c r="C107" s="779"/>
      <c r="D107" s="811"/>
      <c r="E107" s="799" t="str">
        <f t="shared" si="1"/>
        <v/>
      </c>
      <c r="F107" s="779"/>
      <c r="G107" s="812"/>
      <c r="H107" s="800"/>
      <c r="I107" s="801"/>
      <c r="M107" s="378"/>
      <c r="N107" s="346">
        <f>IFERROR(VLOOKUP(G107,Ch3_Storage,2, FALSE),0)</f>
        <v>0</v>
      </c>
    </row>
    <row r="108" ht="18.75" customHeight="1">
      <c r="A108" s="598">
        <f>IFERROR(VLOOKUP(H108,PartyStorage,2, FALSE),0)</f>
        <v>0</v>
      </c>
      <c r="B108" s="813"/>
      <c r="C108" s="772"/>
      <c r="D108" s="814"/>
      <c r="E108" s="805" t="str">
        <f t="shared" si="1"/>
        <v/>
      </c>
      <c r="F108" s="772"/>
      <c r="G108" s="815"/>
      <c r="H108" s="807"/>
      <c r="I108" s="808"/>
      <c r="M108" s="809"/>
      <c r="N108" s="346">
        <f>IFERROR(VLOOKUP(G108,Ch3_Storage,2, FALSE),0)</f>
        <v>0</v>
      </c>
    </row>
    <row r="109" ht="18.75" customHeight="1">
      <c r="A109" s="598">
        <f>IFERROR(VLOOKUP(H109,PartyStorage,2, FALSE),0)</f>
        <v>0</v>
      </c>
      <c r="B109" s="810"/>
      <c r="C109" s="779"/>
      <c r="D109" s="811"/>
      <c r="E109" s="799" t="str">
        <f t="shared" si="1"/>
        <v/>
      </c>
      <c r="F109" s="779"/>
      <c r="G109" s="812"/>
      <c r="H109" s="800"/>
      <c r="I109" s="801"/>
      <c r="M109" s="378"/>
      <c r="N109" s="346">
        <f>IFERROR(VLOOKUP(G109,Ch3_Storage,2, FALSE),0)</f>
        <v>0</v>
      </c>
    </row>
    <row r="110" ht="18.75" customHeight="1">
      <c r="A110" s="598">
        <f>IFERROR(VLOOKUP(H110,PartyStorage,2, FALSE),0)</f>
        <v>0</v>
      </c>
      <c r="B110" s="813"/>
      <c r="C110" s="772"/>
      <c r="D110" s="814"/>
      <c r="E110" s="805" t="str">
        <f t="shared" si="1"/>
        <v/>
      </c>
      <c r="F110" s="772"/>
      <c r="G110" s="815"/>
      <c r="H110" s="807"/>
      <c r="I110" s="808"/>
      <c r="M110" s="809"/>
      <c r="N110" s="346">
        <f>IFERROR(VLOOKUP(G110,Ch3_Storage,2, FALSE),0)</f>
        <v>0</v>
      </c>
    </row>
    <row r="111" ht="18.75" customHeight="1">
      <c r="A111" s="598">
        <f>IFERROR(VLOOKUP(H111,PartyStorage,2, FALSE),0)</f>
        <v>0</v>
      </c>
      <c r="B111" s="810"/>
      <c r="C111" s="779"/>
      <c r="D111" s="811"/>
      <c r="E111" s="799" t="str">
        <f t="shared" si="1"/>
        <v/>
      </c>
      <c r="F111" s="779"/>
      <c r="G111" s="812"/>
      <c r="H111" s="800"/>
      <c r="I111" s="801"/>
      <c r="M111" s="378"/>
      <c r="N111" s="346">
        <f>IFERROR(VLOOKUP(G111,Ch3_Storage,2, FALSE),0)</f>
        <v>0</v>
      </c>
    </row>
    <row r="112" ht="18.75" customHeight="1">
      <c r="A112" s="598">
        <f>IFERROR(VLOOKUP(H112,PartyStorage,2, FALSE),0)</f>
        <v>0</v>
      </c>
      <c r="B112" s="813"/>
      <c r="C112" s="772"/>
      <c r="D112" s="814"/>
      <c r="E112" s="805" t="str">
        <f t="shared" si="1"/>
        <v/>
      </c>
      <c r="F112" s="772"/>
      <c r="G112" s="815"/>
      <c r="H112" s="807"/>
      <c r="I112" s="808"/>
      <c r="M112" s="809"/>
      <c r="N112" s="346">
        <f>IFERROR(VLOOKUP(G112,Ch3_Storage,2, FALSE),0)</f>
        <v>0</v>
      </c>
    </row>
    <row r="113" ht="18.75" customHeight="1">
      <c r="A113" s="598">
        <f>IFERROR(VLOOKUP(H113,PartyStorage,2, FALSE),0)</f>
        <v>0</v>
      </c>
      <c r="B113" s="810"/>
      <c r="C113" s="779"/>
      <c r="D113" s="811"/>
      <c r="E113" s="799" t="str">
        <f t="shared" si="1"/>
        <v/>
      </c>
      <c r="F113" s="779"/>
      <c r="G113" s="812"/>
      <c r="H113" s="800"/>
      <c r="I113" s="801"/>
      <c r="M113" s="378"/>
      <c r="N113" s="346">
        <f>IFERROR(VLOOKUP(G113,Ch3_Storage,2, FALSE),0)</f>
        <v>0</v>
      </c>
    </row>
    <row r="114" ht="18.75" customHeight="1">
      <c r="A114" s="598">
        <f>IFERROR(VLOOKUP(H114,PartyStorage,2, FALSE),0)</f>
        <v>0</v>
      </c>
      <c r="B114" s="813"/>
      <c r="C114" s="772"/>
      <c r="D114" s="814"/>
      <c r="E114" s="805" t="str">
        <f t="shared" si="1"/>
        <v/>
      </c>
      <c r="F114" s="772"/>
      <c r="G114" s="815"/>
      <c r="H114" s="807"/>
      <c r="I114" s="808"/>
      <c r="M114" s="809"/>
      <c r="N114" s="346">
        <f>IFERROR(VLOOKUP(G114,Ch3_Storage,2, FALSE),0)</f>
        <v>0</v>
      </c>
    </row>
    <row r="115" ht="18.75" customHeight="1">
      <c r="A115" s="598">
        <f>IFERROR(VLOOKUP(H115,PartyStorage,2, FALSE),0)</f>
        <v>0</v>
      </c>
      <c r="B115" s="810"/>
      <c r="C115" s="779"/>
      <c r="D115" s="811"/>
      <c r="E115" s="799" t="str">
        <f t="shared" si="1"/>
        <v/>
      </c>
      <c r="F115" s="779"/>
      <c r="G115" s="812"/>
      <c r="H115" s="800"/>
      <c r="I115" s="801"/>
      <c r="M115" s="378"/>
      <c r="N115" s="346">
        <f>IFERROR(VLOOKUP(G115,Ch3_Storage,2, FALSE),0)</f>
        <v>0</v>
      </c>
    </row>
    <row r="116" ht="18.75" customHeight="1">
      <c r="A116" s="598">
        <f>IFERROR(VLOOKUP(H116,PartyStorage,2, FALSE),0)</f>
        <v>0</v>
      </c>
      <c r="B116" s="813"/>
      <c r="C116" s="772"/>
      <c r="D116" s="814"/>
      <c r="E116" s="805" t="str">
        <f t="shared" si="1"/>
        <v/>
      </c>
      <c r="F116" s="772"/>
      <c r="G116" s="815"/>
      <c r="H116" s="807"/>
      <c r="I116" s="808"/>
      <c r="M116" s="809"/>
      <c r="N116" s="346">
        <f>IFERROR(VLOOKUP(G116,Ch3_Storage,2, FALSE),0)</f>
        <v>0</v>
      </c>
    </row>
    <row r="117" ht="18.75" customHeight="1">
      <c r="A117" s="598">
        <f>IFERROR(VLOOKUP(H117,PartyStorage,2, FALSE),0)</f>
        <v>0</v>
      </c>
      <c r="B117" s="810"/>
      <c r="C117" s="779"/>
      <c r="D117" s="811"/>
      <c r="E117" s="799" t="str">
        <f t="shared" si="1"/>
        <v/>
      </c>
      <c r="F117" s="779"/>
      <c r="G117" s="812"/>
      <c r="H117" s="800"/>
      <c r="I117" s="801"/>
      <c r="M117" s="378"/>
      <c r="N117" s="346">
        <f>IFERROR(VLOOKUP(G117,Ch3_Storage,2, FALSE),0)</f>
        <v>0</v>
      </c>
    </row>
    <row r="118" ht="18.75" customHeight="1">
      <c r="A118" s="598">
        <f>IFERROR(VLOOKUP(H118,PartyStorage,2, FALSE),0)</f>
        <v>0</v>
      </c>
      <c r="B118" s="813"/>
      <c r="C118" s="772"/>
      <c r="D118" s="814"/>
      <c r="E118" s="805" t="str">
        <f t="shared" si="1"/>
        <v/>
      </c>
      <c r="F118" s="772"/>
      <c r="G118" s="815"/>
      <c r="H118" s="807"/>
      <c r="I118" s="808"/>
      <c r="M118" s="809"/>
      <c r="N118" s="346">
        <f>IFERROR(VLOOKUP(G118,Ch3_Storage,2, FALSE),0)</f>
        <v>0</v>
      </c>
    </row>
    <row r="119" ht="18.75" customHeight="1">
      <c r="A119" s="598">
        <f>IFERROR(VLOOKUP(H119,PartyStorage,2, FALSE),0)</f>
        <v>0</v>
      </c>
      <c r="B119" s="810"/>
      <c r="C119" s="779"/>
      <c r="D119" s="811"/>
      <c r="E119" s="799" t="str">
        <f t="shared" si="1"/>
        <v/>
      </c>
      <c r="F119" s="779"/>
      <c r="G119" s="812"/>
      <c r="H119" s="800"/>
      <c r="I119" s="801"/>
      <c r="M119" s="378"/>
      <c r="N119" s="346">
        <f>IFERROR(VLOOKUP(G119,Ch3_Storage,2, FALSE),0)</f>
        <v>0</v>
      </c>
    </row>
    <row r="120" ht="18.75" customHeight="1">
      <c r="A120" s="598">
        <f>IFERROR(VLOOKUP(H120,PartyStorage,2, FALSE),0)</f>
        <v>0</v>
      </c>
      <c r="B120" s="813"/>
      <c r="C120" s="772"/>
      <c r="D120" s="814"/>
      <c r="E120" s="805" t="str">
        <f t="shared" si="1"/>
        <v/>
      </c>
      <c r="F120" s="772"/>
      <c r="G120" s="815"/>
      <c r="H120" s="807"/>
      <c r="I120" s="808"/>
      <c r="M120" s="809"/>
      <c r="N120" s="346">
        <f>IFERROR(VLOOKUP(G120,Ch3_Storage,2, FALSE),0)</f>
        <v>0</v>
      </c>
    </row>
    <row r="121" ht="18.75" customHeight="1">
      <c r="A121" s="598">
        <f>IFERROR(VLOOKUP(H121,PartyStorage,2, FALSE),0)</f>
        <v>0</v>
      </c>
      <c r="B121" s="810"/>
      <c r="C121" s="779"/>
      <c r="D121" s="811"/>
      <c r="E121" s="799" t="str">
        <f t="shared" si="1"/>
        <v/>
      </c>
      <c r="F121" s="779"/>
      <c r="G121" s="812"/>
      <c r="H121" s="800"/>
      <c r="I121" s="801"/>
      <c r="M121" s="378"/>
      <c r="N121" s="346">
        <f>IFERROR(VLOOKUP(G121,Ch3_Storage,2, FALSE),0)</f>
        <v>0</v>
      </c>
    </row>
    <row r="122" ht="18.75" customHeight="1">
      <c r="A122" s="598">
        <f>IFERROR(VLOOKUP(H122,PartyStorage,2, FALSE),0)</f>
        <v>0</v>
      </c>
      <c r="B122" s="813"/>
      <c r="C122" s="772"/>
      <c r="D122" s="814"/>
      <c r="E122" s="805" t="str">
        <f t="shared" si="1"/>
        <v/>
      </c>
      <c r="F122" s="772"/>
      <c r="G122" s="815"/>
      <c r="H122" s="807"/>
      <c r="I122" s="808"/>
      <c r="M122" s="809"/>
      <c r="N122" s="346">
        <f>IFERROR(VLOOKUP(G122,Ch3_Storage,2, FALSE),0)</f>
        <v>0</v>
      </c>
    </row>
    <row r="123" ht="18.75" customHeight="1">
      <c r="A123" s="598">
        <f>IFERROR(VLOOKUP(H123,PartyStorage,2, FALSE),0)</f>
        <v>0</v>
      </c>
      <c r="B123" s="810"/>
      <c r="C123" s="779"/>
      <c r="D123" s="811"/>
      <c r="E123" s="799" t="str">
        <f t="shared" si="1"/>
        <v/>
      </c>
      <c r="F123" s="779"/>
      <c r="G123" s="812"/>
      <c r="H123" s="800"/>
      <c r="I123" s="801"/>
      <c r="M123" s="378"/>
      <c r="N123" s="346">
        <f>IFERROR(VLOOKUP(G123,Ch3_Storage,2, FALSE),0)</f>
        <v>0</v>
      </c>
    </row>
    <row r="124" ht="18.75" customHeight="1">
      <c r="A124" s="598">
        <f>IFERROR(VLOOKUP(H124,PartyStorage,2, FALSE),0)</f>
        <v>0</v>
      </c>
      <c r="B124" s="813"/>
      <c r="C124" s="772"/>
      <c r="D124" s="814"/>
      <c r="E124" s="805" t="str">
        <f t="shared" si="1"/>
        <v/>
      </c>
      <c r="F124" s="772"/>
      <c r="G124" s="815"/>
      <c r="H124" s="807"/>
      <c r="I124" s="808"/>
      <c r="M124" s="809"/>
      <c r="N124" s="346">
        <f>IFERROR(VLOOKUP(G124,Ch3_Storage,2, FALSE),0)</f>
        <v>0</v>
      </c>
    </row>
    <row r="125" ht="18.75" customHeight="1">
      <c r="A125" s="598">
        <f>IFERROR(VLOOKUP(H125,PartyStorage,2, FALSE),0)</f>
        <v>0</v>
      </c>
      <c r="B125" s="810"/>
      <c r="C125" s="779"/>
      <c r="D125" s="811"/>
      <c r="E125" s="799" t="str">
        <f t="shared" si="1"/>
        <v/>
      </c>
      <c r="F125" s="779"/>
      <c r="G125" s="812"/>
      <c r="H125" s="800"/>
      <c r="I125" s="801"/>
      <c r="M125" s="378"/>
      <c r="N125" s="346">
        <f>IFERROR(VLOOKUP(G125,Ch3_Storage,2, FALSE),0)</f>
        <v>0</v>
      </c>
    </row>
    <row r="126" ht="18.75" customHeight="1">
      <c r="A126" s="598">
        <f>IFERROR(VLOOKUP(H126,PartyStorage,2, FALSE),0)</f>
        <v>0</v>
      </c>
      <c r="B126" s="813"/>
      <c r="C126" s="772"/>
      <c r="D126" s="814"/>
      <c r="E126" s="805" t="str">
        <f t="shared" si="1"/>
        <v/>
      </c>
      <c r="F126" s="772"/>
      <c r="G126" s="815"/>
      <c r="H126" s="807"/>
      <c r="I126" s="808"/>
      <c r="M126" s="809"/>
      <c r="N126" s="346">
        <f>IFERROR(VLOOKUP(G126,Ch3_Storage,2, FALSE),0)</f>
        <v>0</v>
      </c>
    </row>
    <row r="127" ht="18.75" customHeight="1">
      <c r="A127" s="598">
        <f>IFERROR(VLOOKUP(H127,PartyStorage,2, FALSE),0)</f>
        <v>0</v>
      </c>
      <c r="B127" s="810"/>
      <c r="C127" s="779"/>
      <c r="D127" s="811"/>
      <c r="E127" s="799" t="str">
        <f t="shared" si="1"/>
        <v/>
      </c>
      <c r="F127" s="779"/>
      <c r="G127" s="812"/>
      <c r="H127" s="800"/>
      <c r="I127" s="801"/>
      <c r="M127" s="378"/>
      <c r="N127" s="346">
        <f>IFERROR(VLOOKUP(G127,Ch3_Storage,2, FALSE),0)</f>
        <v>0</v>
      </c>
    </row>
    <row r="128" ht="18.75" customHeight="1">
      <c r="A128" s="598">
        <f>IFERROR(VLOOKUP(H128,PartyStorage,2, FALSE),0)</f>
        <v>0</v>
      </c>
      <c r="B128" s="813"/>
      <c r="C128" s="772"/>
      <c r="D128" s="814"/>
      <c r="E128" s="805" t="str">
        <f t="shared" si="1"/>
        <v/>
      </c>
      <c r="F128" s="772"/>
      <c r="G128" s="815"/>
      <c r="H128" s="807"/>
      <c r="I128" s="808"/>
      <c r="M128" s="809"/>
      <c r="N128" s="346">
        <f>IFERROR(VLOOKUP(G128,Ch3_Storage,2, FALSE),0)</f>
        <v>0</v>
      </c>
    </row>
    <row r="129" ht="18.75" customHeight="1">
      <c r="A129" s="598">
        <f>IFERROR(VLOOKUP(H129,PartyStorage,2, FALSE),0)</f>
        <v>0</v>
      </c>
      <c r="B129" s="810"/>
      <c r="C129" s="779"/>
      <c r="D129" s="811"/>
      <c r="E129" s="799" t="str">
        <f t="shared" si="1"/>
        <v/>
      </c>
      <c r="F129" s="779"/>
      <c r="G129" s="812"/>
      <c r="H129" s="800"/>
      <c r="I129" s="801"/>
      <c r="M129" s="378"/>
      <c r="N129" s="346">
        <f>IFERROR(VLOOKUP(G129,Ch3_Storage,2, FALSE),0)</f>
        <v>0</v>
      </c>
    </row>
    <row r="130" ht="18.75" customHeight="1">
      <c r="A130" s="598">
        <f>IFERROR(VLOOKUP(H130,PartyStorage,2, FALSE),0)</f>
        <v>0</v>
      </c>
      <c r="B130" s="813"/>
      <c r="C130" s="772"/>
      <c r="D130" s="814"/>
      <c r="E130" s="805" t="str">
        <f t="shared" si="1"/>
        <v/>
      </c>
      <c r="F130" s="772"/>
      <c r="G130" s="815"/>
      <c r="H130" s="807"/>
      <c r="I130" s="808"/>
      <c r="M130" s="809"/>
      <c r="N130" s="346">
        <f>IFERROR(VLOOKUP(G130,Ch3_Storage,2, FALSE),0)</f>
        <v>0</v>
      </c>
    </row>
    <row r="131" ht="18.75" customHeight="1">
      <c r="A131" s="598">
        <f>IFERROR(VLOOKUP(H131,PartyStorage,2, FALSE),0)</f>
        <v>0</v>
      </c>
      <c r="B131" s="810"/>
      <c r="C131" s="779"/>
      <c r="D131" s="811"/>
      <c r="E131" s="799" t="str">
        <f t="shared" si="1"/>
        <v/>
      </c>
      <c r="F131" s="779"/>
      <c r="G131" s="812"/>
      <c r="H131" s="800"/>
      <c r="I131" s="801"/>
      <c r="M131" s="378"/>
      <c r="N131" s="346">
        <f>IFERROR(VLOOKUP(G131,Ch3_Storage,2, FALSE),0)</f>
        <v>0</v>
      </c>
    </row>
    <row r="132" ht="18.75" customHeight="1">
      <c r="A132" s="598">
        <f>IFERROR(VLOOKUP(H132,PartyStorage,2, FALSE),0)</f>
        <v>0</v>
      </c>
      <c r="B132" s="813"/>
      <c r="C132" s="772"/>
      <c r="D132" s="814"/>
      <c r="E132" s="805" t="str">
        <f t="shared" si="1"/>
        <v/>
      </c>
      <c r="F132" s="772"/>
      <c r="G132" s="815"/>
      <c r="H132" s="807"/>
      <c r="I132" s="808"/>
      <c r="M132" s="809"/>
      <c r="N132" s="346">
        <f>IFERROR(VLOOKUP(G132,Ch3_Storage,2, FALSE),0)</f>
        <v>0</v>
      </c>
    </row>
    <row r="133" ht="18.75" customHeight="1">
      <c r="A133" s="598">
        <f>IFERROR(VLOOKUP(H133,PartyStorage,2, FALSE),0)</f>
        <v>0</v>
      </c>
      <c r="B133" s="810"/>
      <c r="C133" s="779"/>
      <c r="D133" s="811"/>
      <c r="E133" s="799" t="str">
        <f t="shared" si="1"/>
        <v/>
      </c>
      <c r="F133" s="779"/>
      <c r="G133" s="812"/>
      <c r="H133" s="800"/>
      <c r="I133" s="801"/>
      <c r="M133" s="378"/>
      <c r="N133" s="346">
        <f>IFERROR(VLOOKUP(G133,Ch3_Storage,2, FALSE),0)</f>
        <v>0</v>
      </c>
    </row>
    <row r="134" ht="18.75" customHeight="1">
      <c r="A134" s="598">
        <f>IFERROR(VLOOKUP(H134,PartyStorage,2, FALSE),0)</f>
        <v>0</v>
      </c>
      <c r="B134" s="813"/>
      <c r="C134" s="772"/>
      <c r="D134" s="814"/>
      <c r="E134" s="805" t="str">
        <f t="shared" si="1"/>
        <v/>
      </c>
      <c r="F134" s="772"/>
      <c r="G134" s="815"/>
      <c r="H134" s="807"/>
      <c r="I134" s="808"/>
      <c r="M134" s="809"/>
      <c r="N134" s="346">
        <f>IFERROR(VLOOKUP(G134,Ch3_Storage,2, FALSE),0)</f>
        <v>0</v>
      </c>
    </row>
    <row r="135" ht="18.75" customHeight="1">
      <c r="A135" s="598">
        <f>IFERROR(VLOOKUP(H135,PartyStorage,2, FALSE),0)</f>
        <v>0</v>
      </c>
      <c r="B135" s="810"/>
      <c r="C135" s="779"/>
      <c r="D135" s="811"/>
      <c r="E135" s="799" t="str">
        <f t="shared" si="1"/>
        <v/>
      </c>
      <c r="F135" s="779"/>
      <c r="G135" s="812"/>
      <c r="H135" s="800"/>
      <c r="I135" s="801"/>
      <c r="M135" s="378"/>
      <c r="N135" s="346">
        <f>IFERROR(VLOOKUP(G135,Ch3_Storage,2, FALSE),0)</f>
        <v>0</v>
      </c>
    </row>
    <row r="136" ht="18.75" customHeight="1">
      <c r="A136" s="598">
        <f>IFERROR(VLOOKUP(H136,PartyStorage,2, FALSE),0)</f>
        <v>0</v>
      </c>
      <c r="B136" s="813"/>
      <c r="C136" s="772"/>
      <c r="D136" s="814"/>
      <c r="E136" s="805" t="str">
        <f t="shared" si="1"/>
        <v/>
      </c>
      <c r="F136" s="772"/>
      <c r="G136" s="815"/>
      <c r="H136" s="807"/>
      <c r="I136" s="808"/>
      <c r="M136" s="809"/>
      <c r="N136" s="346">
        <f>IFERROR(VLOOKUP(G136,Ch3_Storage,2, FALSE),0)</f>
        <v>0</v>
      </c>
    </row>
    <row r="137" ht="18.75" customHeight="1">
      <c r="A137" s="598">
        <f>IFERROR(VLOOKUP(H137,PartyStorage,2, FALSE),0)</f>
        <v>0</v>
      </c>
      <c r="B137" s="810"/>
      <c r="C137" s="779"/>
      <c r="D137" s="811"/>
      <c r="E137" s="799" t="str">
        <f t="shared" si="1"/>
        <v/>
      </c>
      <c r="F137" s="779"/>
      <c r="G137" s="812"/>
      <c r="H137" s="800"/>
      <c r="I137" s="801"/>
      <c r="M137" s="378"/>
      <c r="N137" s="346">
        <f>IFERROR(VLOOKUP(G137,Ch3_Storage,2, FALSE),0)</f>
        <v>0</v>
      </c>
    </row>
    <row r="138" ht="18.75" customHeight="1">
      <c r="A138" s="598">
        <f>IFERROR(VLOOKUP(H138,PartyStorage,2, FALSE),0)</f>
        <v>0</v>
      </c>
      <c r="B138" s="813"/>
      <c r="C138" s="772"/>
      <c r="D138" s="814"/>
      <c r="E138" s="805" t="str">
        <f t="shared" si="1"/>
        <v/>
      </c>
      <c r="F138" s="772"/>
      <c r="G138" s="815"/>
      <c r="H138" s="807"/>
      <c r="I138" s="808"/>
      <c r="M138" s="809"/>
      <c r="N138" s="346">
        <f>IFERROR(VLOOKUP(G138,Ch3_Storage,2, FALSE),0)</f>
        <v>0</v>
      </c>
    </row>
    <row r="139" ht="18.75" customHeight="1">
      <c r="A139" s="598">
        <f>IFERROR(VLOOKUP(H139,PartyStorage,2, FALSE),0)</f>
        <v>0</v>
      </c>
      <c r="B139" s="810"/>
      <c r="C139" s="779"/>
      <c r="D139" s="811"/>
      <c r="E139" s="799" t="str">
        <f t="shared" si="1"/>
        <v/>
      </c>
      <c r="F139" s="779"/>
      <c r="G139" s="812"/>
      <c r="H139" s="800"/>
      <c r="I139" s="801"/>
      <c r="M139" s="378"/>
      <c r="N139" s="346">
        <f>IFERROR(VLOOKUP(G139,Ch3_Storage,2, FALSE),0)</f>
        <v>0</v>
      </c>
    </row>
    <row r="140" ht="18.75" customHeight="1">
      <c r="A140" s="598">
        <f>IFERROR(VLOOKUP(H140,PartyStorage,2, FALSE),0)</f>
        <v>0</v>
      </c>
      <c r="B140" s="813"/>
      <c r="C140" s="772"/>
      <c r="D140" s="814"/>
      <c r="E140" s="805" t="str">
        <f t="shared" si="1"/>
        <v/>
      </c>
      <c r="F140" s="772"/>
      <c r="G140" s="815"/>
      <c r="H140" s="807"/>
      <c r="I140" s="808"/>
      <c r="M140" s="809"/>
      <c r="N140" s="346">
        <f>IFERROR(VLOOKUP(G140,Ch3_Storage,2, FALSE),0)</f>
        <v>0</v>
      </c>
    </row>
    <row r="141" ht="18.75" customHeight="1">
      <c r="A141" s="598">
        <f>IFERROR(VLOOKUP(H141,PartyStorage,2, FALSE),0)</f>
        <v>0</v>
      </c>
      <c r="B141" s="810"/>
      <c r="C141" s="779"/>
      <c r="D141" s="811"/>
      <c r="E141" s="799" t="str">
        <f t="shared" si="1"/>
        <v/>
      </c>
      <c r="F141" s="779"/>
      <c r="G141" s="812"/>
      <c r="H141" s="800"/>
      <c r="I141" s="801"/>
      <c r="M141" s="378"/>
      <c r="N141" s="346">
        <f>IFERROR(VLOOKUP(G141,Ch3_Storage,2, FALSE),0)</f>
        <v>0</v>
      </c>
    </row>
    <row r="142" ht="18.75" customHeight="1">
      <c r="A142" s="598">
        <f>IFERROR(VLOOKUP(H142,PartyStorage,2, FALSE),0)</f>
        <v>0</v>
      </c>
      <c r="B142" s="813"/>
      <c r="C142" s="772"/>
      <c r="D142" s="814"/>
      <c r="E142" s="805" t="str">
        <f t="shared" si="1"/>
        <v/>
      </c>
      <c r="F142" s="772"/>
      <c r="G142" s="815"/>
      <c r="H142" s="807"/>
      <c r="I142" s="808"/>
      <c r="M142" s="809"/>
      <c r="N142" s="346">
        <f>IFERROR(VLOOKUP(G142,Ch3_Storage,2, FALSE),0)</f>
        <v>0</v>
      </c>
    </row>
    <row r="143" ht="18.75" customHeight="1">
      <c r="A143" s="598">
        <f>IFERROR(VLOOKUP(H143,PartyStorage,2, FALSE),0)</f>
        <v>0</v>
      </c>
      <c r="B143" s="810"/>
      <c r="C143" s="779"/>
      <c r="D143" s="811"/>
      <c r="E143" s="799" t="str">
        <f t="shared" si="1"/>
        <v/>
      </c>
      <c r="F143" s="779"/>
      <c r="G143" s="812"/>
      <c r="H143" s="800"/>
      <c r="I143" s="801"/>
      <c r="M143" s="378"/>
      <c r="N143" s="346">
        <f>IFERROR(VLOOKUP(G143,Ch3_Storage,2, FALSE),0)</f>
        <v>0</v>
      </c>
    </row>
    <row r="144" ht="18.75" customHeight="1">
      <c r="A144" s="598">
        <f>IFERROR(VLOOKUP(H144,PartyStorage,2, FALSE),0)</f>
        <v>0</v>
      </c>
      <c r="B144" s="813"/>
      <c r="C144" s="772"/>
      <c r="D144" s="814"/>
      <c r="E144" s="805" t="str">
        <f t="shared" si="1"/>
        <v/>
      </c>
      <c r="F144" s="772"/>
      <c r="G144" s="815"/>
      <c r="H144" s="807"/>
      <c r="I144" s="808"/>
      <c r="M144" s="809"/>
      <c r="N144" s="346">
        <f>IFERROR(VLOOKUP(G144,Ch3_Storage,2, FALSE),0)</f>
        <v>0</v>
      </c>
    </row>
    <row r="145" ht="18.75" customHeight="1">
      <c r="A145" s="598">
        <f>IFERROR(VLOOKUP(H145,PartyStorage,2, FALSE),0)</f>
        <v>0</v>
      </c>
      <c r="B145" s="810"/>
      <c r="C145" s="779"/>
      <c r="D145" s="811"/>
      <c r="E145" s="799" t="str">
        <f t="shared" si="1"/>
        <v/>
      </c>
      <c r="F145" s="779"/>
      <c r="G145" s="812"/>
      <c r="H145" s="800"/>
      <c r="I145" s="801"/>
      <c r="M145" s="378"/>
      <c r="N145" s="346">
        <f>IFERROR(VLOOKUP(G145,Ch3_Storage,2, FALSE),0)</f>
        <v>0</v>
      </c>
    </row>
    <row r="146" ht="18.75" customHeight="1">
      <c r="A146" s="598">
        <f>IFERROR(VLOOKUP(H146,PartyStorage,2, FALSE),0)</f>
        <v>0</v>
      </c>
      <c r="B146" s="813"/>
      <c r="C146" s="772"/>
      <c r="D146" s="814"/>
      <c r="E146" s="805" t="str">
        <f t="shared" si="1"/>
        <v/>
      </c>
      <c r="F146" s="772"/>
      <c r="G146" s="815"/>
      <c r="H146" s="807"/>
      <c r="I146" s="808"/>
      <c r="M146" s="809"/>
      <c r="N146" s="346">
        <f>IFERROR(VLOOKUP(G146,Ch3_Storage,2, FALSE),0)</f>
        <v>0</v>
      </c>
    </row>
    <row r="147" ht="18.75" customHeight="1">
      <c r="A147" s="598">
        <f>IFERROR(VLOOKUP(H147,PartyStorage,2, FALSE),0)</f>
        <v>0</v>
      </c>
      <c r="B147" s="810"/>
      <c r="C147" s="779"/>
      <c r="D147" s="811"/>
      <c r="E147" s="799" t="str">
        <f t="shared" si="1"/>
        <v/>
      </c>
      <c r="F147" s="779"/>
      <c r="G147" s="812"/>
      <c r="H147" s="800"/>
      <c r="I147" s="801"/>
      <c r="M147" s="378"/>
      <c r="N147" s="346">
        <f>IFERROR(VLOOKUP(G147,Ch3_Storage,2, FALSE),0)</f>
        <v>0</v>
      </c>
    </row>
    <row r="148" ht="18.75" customHeight="1">
      <c r="A148" s="598">
        <f>IFERROR(VLOOKUP(H148,PartyStorage,2, FALSE),0)</f>
        <v>0</v>
      </c>
      <c r="B148" s="813"/>
      <c r="C148" s="772"/>
      <c r="D148" s="814"/>
      <c r="E148" s="805" t="str">
        <f t="shared" si="1"/>
        <v/>
      </c>
      <c r="F148" s="772"/>
      <c r="G148" s="815"/>
      <c r="H148" s="807"/>
      <c r="I148" s="808"/>
      <c r="M148" s="809"/>
      <c r="N148" s="346">
        <f>IFERROR(VLOOKUP(G148,Ch3_Storage,2, FALSE),0)</f>
        <v>0</v>
      </c>
    </row>
    <row r="149" ht="18.75" customHeight="1">
      <c r="A149" s="598">
        <f>IFERROR(VLOOKUP(H149,PartyStorage,2, FALSE),0)</f>
        <v>0</v>
      </c>
      <c r="B149" s="810"/>
      <c r="C149" s="779"/>
      <c r="D149" s="811"/>
      <c r="E149" s="799" t="str">
        <f t="shared" si="1"/>
        <v/>
      </c>
      <c r="F149" s="779"/>
      <c r="G149" s="812"/>
      <c r="H149" s="800"/>
      <c r="I149" s="801"/>
      <c r="M149" s="378"/>
      <c r="N149" s="346">
        <f>IFERROR(VLOOKUP(G149,Ch3_Storage,2, FALSE),0)</f>
        <v>0</v>
      </c>
    </row>
    <row r="150" ht="18.75" customHeight="1">
      <c r="A150" s="598">
        <f>IFERROR(VLOOKUP(H150,PartyStorage,2, FALSE),0)</f>
        <v>0</v>
      </c>
      <c r="B150" s="813"/>
      <c r="C150" s="772"/>
      <c r="D150" s="814"/>
      <c r="E150" s="805" t="str">
        <f t="shared" si="1"/>
        <v/>
      </c>
      <c r="F150" s="772"/>
      <c r="G150" s="815"/>
      <c r="H150" s="807"/>
      <c r="I150" s="808"/>
      <c r="M150" s="809"/>
      <c r="N150" s="346">
        <f>IFERROR(VLOOKUP(G150,Ch3_Storage,2, FALSE),0)</f>
        <v>0</v>
      </c>
    </row>
    <row r="151" ht="18.75" customHeight="1">
      <c r="A151" s="598">
        <f>IFERROR(VLOOKUP(H151,PartyStorage,2, FALSE),0)</f>
        <v>0</v>
      </c>
      <c r="B151" s="810"/>
      <c r="C151" s="779"/>
      <c r="D151" s="811"/>
      <c r="E151" s="799" t="str">
        <f t="shared" si="1"/>
        <v/>
      </c>
      <c r="F151" s="779"/>
      <c r="G151" s="812"/>
      <c r="H151" s="800"/>
      <c r="I151" s="801"/>
      <c r="M151" s="378"/>
      <c r="N151" s="346">
        <f>IFERROR(VLOOKUP(G151,Ch3_Storage,2, FALSE),0)</f>
        <v>0</v>
      </c>
    </row>
    <row r="152" ht="18.75" customHeight="1">
      <c r="A152" s="598">
        <f>IFERROR(VLOOKUP(H152,PartyStorage,2, FALSE),0)</f>
        <v>0</v>
      </c>
      <c r="B152" s="813"/>
      <c r="C152" s="772"/>
      <c r="D152" s="814"/>
      <c r="E152" s="805" t="str">
        <f t="shared" si="1"/>
        <v/>
      </c>
      <c r="F152" s="772"/>
      <c r="G152" s="815"/>
      <c r="H152" s="807"/>
      <c r="I152" s="808"/>
      <c r="M152" s="809"/>
      <c r="N152" s="346">
        <f>IFERROR(VLOOKUP(G152,Ch3_Storage,2, FALSE),0)</f>
        <v>0</v>
      </c>
    </row>
    <row r="153" ht="18.75" customHeight="1">
      <c r="A153" s="598">
        <f>IFERROR(VLOOKUP(H153,PartyStorage,2, FALSE),0)</f>
        <v>0</v>
      </c>
      <c r="B153" s="810"/>
      <c r="C153" s="779"/>
      <c r="D153" s="811"/>
      <c r="E153" s="799" t="str">
        <f t="shared" si="1"/>
        <v/>
      </c>
      <c r="F153" s="779"/>
      <c r="G153" s="812"/>
      <c r="H153" s="800"/>
      <c r="I153" s="801"/>
      <c r="M153" s="378"/>
      <c r="N153" s="346">
        <f>IFERROR(VLOOKUP(G153,Ch3_Storage,2, FALSE),0)</f>
        <v>0</v>
      </c>
    </row>
    <row r="154" ht="18.75" customHeight="1">
      <c r="A154" s="598">
        <f>IFERROR(VLOOKUP(H154,PartyStorage,2, FALSE),0)</f>
        <v>0</v>
      </c>
      <c r="B154" s="813"/>
      <c r="C154" s="772"/>
      <c r="D154" s="814"/>
      <c r="E154" s="805" t="str">
        <f t="shared" si="1"/>
        <v/>
      </c>
      <c r="F154" s="772"/>
      <c r="G154" s="815"/>
      <c r="H154" s="807"/>
      <c r="I154" s="808"/>
      <c r="M154" s="809"/>
      <c r="N154" s="346">
        <f>IFERROR(VLOOKUP(G154,Ch3_Storage,2, FALSE),0)</f>
        <v>0</v>
      </c>
    </row>
    <row r="155" ht="18.75" customHeight="1">
      <c r="A155" s="598">
        <f>IFERROR(VLOOKUP(H155,PartyStorage,2, FALSE),0)</f>
        <v>0</v>
      </c>
      <c r="B155" s="810"/>
      <c r="C155" s="779"/>
      <c r="D155" s="811"/>
      <c r="E155" s="799" t="str">
        <f t="shared" si="1"/>
        <v/>
      </c>
      <c r="F155" s="779"/>
      <c r="G155" s="812"/>
      <c r="H155" s="800"/>
      <c r="I155" s="801"/>
      <c r="M155" s="378"/>
      <c r="N155" s="346">
        <f>IFERROR(VLOOKUP(G155,Ch3_Storage,2, FALSE),0)</f>
        <v>0</v>
      </c>
    </row>
    <row r="156" ht="18.75" customHeight="1">
      <c r="A156" s="598">
        <f>IFERROR(VLOOKUP(H156,PartyStorage,2, FALSE),0)</f>
        <v>0</v>
      </c>
      <c r="B156" s="813"/>
      <c r="C156" s="772"/>
      <c r="D156" s="814"/>
      <c r="E156" s="805" t="str">
        <f t="shared" si="1"/>
        <v/>
      </c>
      <c r="F156" s="772"/>
      <c r="G156" s="815"/>
      <c r="H156" s="807"/>
      <c r="I156" s="808"/>
      <c r="M156" s="809"/>
      <c r="N156" s="346">
        <f>IFERROR(VLOOKUP(G156,Ch3_Storage,2, FALSE),0)</f>
        <v>0</v>
      </c>
    </row>
    <row r="157" ht="18.75" customHeight="1">
      <c r="A157" s="598">
        <f>IFERROR(VLOOKUP(H157,PartyStorage,2, FALSE),0)</f>
        <v>0</v>
      </c>
      <c r="B157" s="810"/>
      <c r="C157" s="779"/>
      <c r="D157" s="811"/>
      <c r="E157" s="799" t="str">
        <f t="shared" si="1"/>
        <v/>
      </c>
      <c r="F157" s="779"/>
      <c r="G157" s="812"/>
      <c r="H157" s="800"/>
      <c r="I157" s="801"/>
      <c r="M157" s="378"/>
      <c r="N157" s="346">
        <f>IFERROR(VLOOKUP(G157,Ch3_Storage,2, FALSE),0)</f>
        <v>0</v>
      </c>
    </row>
    <row r="158" ht="18.75" customHeight="1">
      <c r="A158" s="598">
        <f>IFERROR(VLOOKUP(H158,PartyStorage,2, FALSE),0)</f>
        <v>0</v>
      </c>
      <c r="B158" s="813"/>
      <c r="C158" s="772"/>
      <c r="D158" s="814"/>
      <c r="E158" s="805" t="str">
        <f t="shared" si="1"/>
        <v/>
      </c>
      <c r="F158" s="772"/>
      <c r="G158" s="815"/>
      <c r="H158" s="807"/>
      <c r="I158" s="808"/>
      <c r="M158" s="809"/>
      <c r="N158" s="346">
        <f>IFERROR(VLOOKUP(G158,Ch3_Storage,2, FALSE),0)</f>
        <v>0</v>
      </c>
    </row>
    <row r="159" ht="18.75" customHeight="1">
      <c r="A159" s="598">
        <f>IFERROR(VLOOKUP(H159,PartyStorage,2, FALSE),0)</f>
        <v>0</v>
      </c>
      <c r="B159" s="810"/>
      <c r="C159" s="779"/>
      <c r="D159" s="811"/>
      <c r="E159" s="799" t="str">
        <f t="shared" si="1"/>
        <v/>
      </c>
      <c r="F159" s="779"/>
      <c r="G159" s="812"/>
      <c r="H159" s="800"/>
      <c r="I159" s="801"/>
      <c r="M159" s="378"/>
      <c r="N159" s="346">
        <f>IFERROR(VLOOKUP(G159,Ch3_Storage,2, FALSE),0)</f>
        <v>0</v>
      </c>
    </row>
    <row r="160" ht="18.75" customHeight="1">
      <c r="A160" s="598">
        <f>IFERROR(VLOOKUP(H160,PartyStorage,2, FALSE),0)</f>
        <v>0</v>
      </c>
      <c r="B160" s="813"/>
      <c r="C160" s="772"/>
      <c r="D160" s="814"/>
      <c r="E160" s="805" t="str">
        <f t="shared" si="1"/>
        <v/>
      </c>
      <c r="F160" s="772"/>
      <c r="G160" s="815"/>
      <c r="H160" s="807"/>
      <c r="I160" s="808"/>
      <c r="M160" s="809"/>
      <c r="N160" s="346">
        <f>IFERROR(VLOOKUP(G160,Ch3_Storage,2, FALSE),0)</f>
        <v>0</v>
      </c>
    </row>
    <row r="161" ht="18.75" customHeight="1">
      <c r="A161" s="598">
        <f>IFERROR(VLOOKUP(H161,PartyStorage,2, FALSE),0)</f>
        <v>0</v>
      </c>
      <c r="B161" s="810"/>
      <c r="C161" s="779"/>
      <c r="D161" s="811"/>
      <c r="E161" s="799" t="str">
        <f t="shared" si="1"/>
        <v/>
      </c>
      <c r="F161" s="779"/>
      <c r="G161" s="812"/>
      <c r="H161" s="800"/>
      <c r="I161" s="801"/>
      <c r="M161" s="378"/>
      <c r="N161" s="346">
        <f>IFERROR(VLOOKUP(G161,Ch3_Storage,2, FALSE),0)</f>
        <v>0</v>
      </c>
    </row>
    <row r="162" ht="18.75" customHeight="1">
      <c r="A162" s="598">
        <f>IFERROR(VLOOKUP(H162,PartyStorage,2, FALSE),0)</f>
        <v>0</v>
      </c>
      <c r="B162" s="813"/>
      <c r="C162" s="772"/>
      <c r="D162" s="814"/>
      <c r="E162" s="805" t="str">
        <f t="shared" si="1"/>
        <v/>
      </c>
      <c r="F162" s="772"/>
      <c r="G162" s="815"/>
      <c r="H162" s="807"/>
      <c r="I162" s="808"/>
      <c r="M162" s="809"/>
      <c r="N162" s="346">
        <f>IFERROR(VLOOKUP(G162,Ch3_Storage,2, FALSE),0)</f>
        <v>0</v>
      </c>
    </row>
    <row r="163" ht="18.75" customHeight="1">
      <c r="A163" s="598">
        <f>IFERROR(VLOOKUP(H163,PartyStorage,2, FALSE),0)</f>
        <v>0</v>
      </c>
      <c r="B163" s="810"/>
      <c r="C163" s="779"/>
      <c r="D163" s="811"/>
      <c r="E163" s="799" t="str">
        <f t="shared" si="1"/>
        <v/>
      </c>
      <c r="F163" s="779"/>
      <c r="G163" s="812"/>
      <c r="H163" s="800"/>
      <c r="I163" s="801"/>
      <c r="M163" s="378"/>
      <c r="N163" s="346">
        <f>IFERROR(VLOOKUP(G163,Ch3_Storage,2, FALSE),0)</f>
        <v>0</v>
      </c>
    </row>
    <row r="164" ht="18.75" customHeight="1">
      <c r="A164" s="598">
        <f>IFERROR(VLOOKUP(H164,PartyStorage,2, FALSE),0)</f>
        <v>0</v>
      </c>
      <c r="B164" s="813"/>
      <c r="C164" s="772"/>
      <c r="D164" s="814"/>
      <c r="E164" s="805" t="str">
        <f t="shared" si="1"/>
        <v/>
      </c>
      <c r="F164" s="772"/>
      <c r="G164" s="815"/>
      <c r="H164" s="807"/>
      <c r="I164" s="808"/>
      <c r="M164" s="809"/>
      <c r="N164" s="346">
        <f>IFERROR(VLOOKUP(G164,Ch3_Storage,2, FALSE),0)</f>
        <v>0</v>
      </c>
    </row>
    <row r="165" ht="18.75" customHeight="1">
      <c r="A165" s="598">
        <f>IFERROR(VLOOKUP(H165,PartyStorage,2, FALSE),0)</f>
        <v>0</v>
      </c>
      <c r="B165" s="810"/>
      <c r="C165" s="779"/>
      <c r="D165" s="811"/>
      <c r="E165" s="799" t="str">
        <f t="shared" si="1"/>
        <v/>
      </c>
      <c r="F165" s="779"/>
      <c r="G165" s="812"/>
      <c r="H165" s="800"/>
      <c r="I165" s="801"/>
      <c r="M165" s="378"/>
      <c r="N165" s="346">
        <f>IFERROR(VLOOKUP(G165,Ch3_Storage,2, FALSE),0)</f>
        <v>0</v>
      </c>
    </row>
    <row r="166" ht="18.75" customHeight="1">
      <c r="A166" s="598">
        <f>IFERROR(VLOOKUP(H166,PartyStorage,2, FALSE),0)</f>
        <v>0</v>
      </c>
      <c r="B166" s="813"/>
      <c r="C166" s="772"/>
      <c r="D166" s="814"/>
      <c r="E166" s="805" t="str">
        <f t="shared" si="1"/>
        <v/>
      </c>
      <c r="F166" s="772"/>
      <c r="G166" s="815"/>
      <c r="H166" s="807"/>
      <c r="I166" s="808"/>
      <c r="M166" s="809"/>
      <c r="N166" s="346">
        <f>IFERROR(VLOOKUP(G166,Ch3_Storage,2, FALSE),0)</f>
        <v>0</v>
      </c>
    </row>
    <row r="167" ht="18.75" customHeight="1">
      <c r="A167" s="598">
        <f>IFERROR(VLOOKUP(H167,PartyStorage,2, FALSE),0)</f>
        <v>0</v>
      </c>
      <c r="B167" s="810"/>
      <c r="C167" s="779"/>
      <c r="D167" s="811"/>
      <c r="E167" s="799" t="str">
        <f t="shared" si="1"/>
        <v/>
      </c>
      <c r="F167" s="779"/>
      <c r="G167" s="812"/>
      <c r="H167" s="800"/>
      <c r="I167" s="801"/>
      <c r="M167" s="378"/>
      <c r="N167" s="346">
        <f>IFERROR(VLOOKUP(G167,Ch3_Storage,2, FALSE),0)</f>
        <v>0</v>
      </c>
    </row>
    <row r="168" ht="18.75" customHeight="1">
      <c r="A168" s="598">
        <f>IFERROR(VLOOKUP(H168,PartyStorage,2, FALSE),0)</f>
        <v>0</v>
      </c>
      <c r="B168" s="813"/>
      <c r="C168" s="772"/>
      <c r="D168" s="814"/>
      <c r="E168" s="805" t="str">
        <f t="shared" si="1"/>
        <v/>
      </c>
      <c r="F168" s="772"/>
      <c r="G168" s="815"/>
      <c r="H168" s="807"/>
      <c r="I168" s="808"/>
      <c r="M168" s="809"/>
      <c r="N168" s="346">
        <f>IFERROR(VLOOKUP(G168,Ch3_Storage,2, FALSE),0)</f>
        <v>0</v>
      </c>
    </row>
    <row r="169" ht="18.75" customHeight="1">
      <c r="A169" s="598">
        <f>IFERROR(VLOOKUP(H169,PartyStorage,2, FALSE),0)</f>
        <v>0</v>
      </c>
      <c r="B169" s="810"/>
      <c r="C169" s="779"/>
      <c r="D169" s="811"/>
      <c r="E169" s="799" t="str">
        <f t="shared" si="1"/>
        <v/>
      </c>
      <c r="F169" s="779"/>
      <c r="G169" s="812"/>
      <c r="H169" s="800"/>
      <c r="I169" s="801"/>
      <c r="M169" s="378"/>
      <c r="N169" s="346">
        <f>IFERROR(VLOOKUP(G169,Ch3_Storage,2, FALSE),0)</f>
        <v>0</v>
      </c>
    </row>
    <row r="170" ht="18.75" customHeight="1">
      <c r="A170" s="598">
        <f>IFERROR(VLOOKUP(H170,PartyStorage,2, FALSE),0)</f>
        <v>0</v>
      </c>
      <c r="B170" s="813"/>
      <c r="C170" s="772"/>
      <c r="D170" s="814"/>
      <c r="E170" s="805" t="str">
        <f t="shared" si="1"/>
        <v/>
      </c>
      <c r="F170" s="772"/>
      <c r="G170" s="815"/>
      <c r="H170" s="807"/>
      <c r="I170" s="808"/>
      <c r="M170" s="809"/>
      <c r="N170" s="346">
        <f>IFERROR(VLOOKUP(G170,Ch3_Storage,2, FALSE),0)</f>
        <v>0</v>
      </c>
    </row>
    <row r="171" ht="18.75" customHeight="1">
      <c r="A171" s="598">
        <f>IFERROR(VLOOKUP(H171,PartyStorage,2, FALSE),0)</f>
        <v>0</v>
      </c>
      <c r="B171" s="810"/>
      <c r="C171" s="779"/>
      <c r="D171" s="811"/>
      <c r="E171" s="799" t="str">
        <f t="shared" si="1"/>
        <v/>
      </c>
      <c r="F171" s="779"/>
      <c r="G171" s="812"/>
      <c r="H171" s="800"/>
      <c r="I171" s="801"/>
      <c r="M171" s="378"/>
      <c r="N171" s="346">
        <f>IFERROR(VLOOKUP(G171,Ch3_Storage,2, FALSE),0)</f>
        <v>0</v>
      </c>
    </row>
    <row r="172" ht="18.75" customHeight="1">
      <c r="A172" s="598">
        <f>IFERROR(VLOOKUP(H172,PartyStorage,2, FALSE),0)</f>
        <v>0</v>
      </c>
      <c r="B172" s="813"/>
      <c r="C172" s="772"/>
      <c r="D172" s="814"/>
      <c r="E172" s="805" t="str">
        <f t="shared" si="1"/>
        <v/>
      </c>
      <c r="F172" s="772"/>
      <c r="G172" s="815"/>
      <c r="H172" s="807"/>
      <c r="I172" s="808"/>
      <c r="M172" s="809"/>
      <c r="N172" s="346">
        <f>IFERROR(VLOOKUP(G172,Ch3_Storage,2, FALSE),0)</f>
        <v>0</v>
      </c>
    </row>
    <row r="173" ht="18.75" customHeight="1">
      <c r="A173" s="598">
        <f>IFERROR(VLOOKUP(H173,PartyStorage,2, FALSE),0)</f>
        <v>0</v>
      </c>
      <c r="B173" s="810"/>
      <c r="C173" s="779"/>
      <c r="D173" s="811"/>
      <c r="E173" s="799" t="str">
        <f t="shared" si="1"/>
        <v/>
      </c>
      <c r="F173" s="779"/>
      <c r="G173" s="812"/>
      <c r="H173" s="800"/>
      <c r="I173" s="801"/>
      <c r="M173" s="378"/>
      <c r="N173" s="346">
        <f>IFERROR(VLOOKUP(G173,Ch3_Storage,2, FALSE),0)</f>
        <v>0</v>
      </c>
    </row>
    <row r="174" ht="18.75" customHeight="1">
      <c r="A174" s="598">
        <f>IFERROR(VLOOKUP(H174,PartyStorage,2, FALSE),0)</f>
        <v>0</v>
      </c>
      <c r="B174" s="813"/>
      <c r="C174" s="772"/>
      <c r="D174" s="814"/>
      <c r="E174" s="805" t="str">
        <f t="shared" si="1"/>
        <v/>
      </c>
      <c r="F174" s="772"/>
      <c r="G174" s="815"/>
      <c r="H174" s="807"/>
      <c r="I174" s="808"/>
      <c r="M174" s="809"/>
      <c r="N174" s="346">
        <f>IFERROR(VLOOKUP(G174,Ch3_Storage,2, FALSE),0)</f>
        <v>0</v>
      </c>
    </row>
    <row r="175" ht="18.75" customHeight="1">
      <c r="A175" s="598">
        <f>IFERROR(VLOOKUP(H175,PartyStorage,2, FALSE),0)</f>
        <v>0</v>
      </c>
      <c r="B175" s="810"/>
      <c r="C175" s="779"/>
      <c r="D175" s="811"/>
      <c r="E175" s="799" t="str">
        <f t="shared" si="1"/>
        <v/>
      </c>
      <c r="F175" s="779"/>
      <c r="G175" s="812"/>
      <c r="H175" s="800"/>
      <c r="I175" s="801"/>
      <c r="M175" s="378"/>
      <c r="N175" s="346">
        <f>IFERROR(VLOOKUP(G175,Ch3_Storage,2, FALSE),0)</f>
        <v>0</v>
      </c>
    </row>
    <row r="176" ht="18.75" customHeight="1">
      <c r="A176" s="598">
        <f>IFERROR(VLOOKUP(H176,PartyStorage,2, FALSE),0)</f>
        <v>0</v>
      </c>
      <c r="B176" s="813"/>
      <c r="C176" s="772"/>
      <c r="D176" s="814"/>
      <c r="E176" s="805" t="str">
        <f t="shared" si="1"/>
        <v/>
      </c>
      <c r="F176" s="772"/>
      <c r="G176" s="815"/>
      <c r="H176" s="807"/>
      <c r="I176" s="808"/>
      <c r="M176" s="809"/>
      <c r="N176" s="346">
        <f>IFERROR(VLOOKUP(G176,Ch3_Storage,2, FALSE),0)</f>
        <v>0</v>
      </c>
    </row>
    <row r="177" ht="18.75" customHeight="1">
      <c r="A177" s="598">
        <f>IFERROR(VLOOKUP(H177,PartyStorage,2, FALSE),0)</f>
        <v>0</v>
      </c>
      <c r="B177" s="810"/>
      <c r="C177" s="779"/>
      <c r="D177" s="811"/>
      <c r="E177" s="799" t="str">
        <f t="shared" si="1"/>
        <v/>
      </c>
      <c r="F177" s="779"/>
      <c r="G177" s="812"/>
      <c r="H177" s="800"/>
      <c r="I177" s="801"/>
      <c r="M177" s="378"/>
      <c r="N177" s="346">
        <f>IFERROR(VLOOKUP(G177,Ch3_Storage,2, FALSE),0)</f>
        <v>0</v>
      </c>
    </row>
    <row r="178" ht="18.75" customHeight="1">
      <c r="A178" s="598">
        <f>IFERROR(VLOOKUP(H178,PartyStorage,2, FALSE),0)</f>
        <v>0</v>
      </c>
      <c r="B178" s="813"/>
      <c r="C178" s="772"/>
      <c r="D178" s="814"/>
      <c r="E178" s="805" t="str">
        <f t="shared" si="1"/>
        <v/>
      </c>
      <c r="F178" s="772"/>
      <c r="G178" s="815"/>
      <c r="H178" s="807"/>
      <c r="I178" s="808"/>
      <c r="M178" s="809"/>
      <c r="N178" s="346">
        <f>IFERROR(VLOOKUP(G178,Ch3_Storage,2, FALSE),0)</f>
        <v>0</v>
      </c>
    </row>
    <row r="179" ht="18.75" customHeight="1">
      <c r="A179" s="598">
        <f>IFERROR(VLOOKUP(H179,PartyStorage,2, FALSE),0)</f>
        <v>0</v>
      </c>
      <c r="B179" s="810"/>
      <c r="C179" s="779"/>
      <c r="D179" s="811"/>
      <c r="E179" s="799" t="str">
        <f t="shared" si="1"/>
        <v/>
      </c>
      <c r="F179" s="779"/>
      <c r="G179" s="812"/>
      <c r="H179" s="800"/>
      <c r="I179" s="801"/>
      <c r="M179" s="378"/>
      <c r="N179" s="346">
        <f>IFERROR(VLOOKUP(G179,Ch3_Storage,2, FALSE),0)</f>
        <v>0</v>
      </c>
    </row>
    <row r="180" ht="18.75" customHeight="1">
      <c r="A180" s="598">
        <f>IFERROR(VLOOKUP(H180,PartyStorage,2, FALSE),0)</f>
        <v>0</v>
      </c>
      <c r="B180" s="813"/>
      <c r="C180" s="772"/>
      <c r="D180" s="814"/>
      <c r="E180" s="805" t="str">
        <f t="shared" si="1"/>
        <v/>
      </c>
      <c r="F180" s="772"/>
      <c r="G180" s="815"/>
      <c r="H180" s="807"/>
      <c r="I180" s="808"/>
      <c r="M180" s="809"/>
      <c r="N180" s="346">
        <f>IFERROR(VLOOKUP(G180,Ch3_Storage,2, FALSE),0)</f>
        <v>0</v>
      </c>
    </row>
    <row r="181" ht="18.75" customHeight="1">
      <c r="A181" s="598">
        <f>IFERROR(VLOOKUP(H181,PartyStorage,2, FALSE),0)</f>
        <v>0</v>
      </c>
      <c r="B181" s="810"/>
      <c r="C181" s="779"/>
      <c r="D181" s="811"/>
      <c r="E181" s="799" t="str">
        <f t="shared" si="1"/>
        <v/>
      </c>
      <c r="F181" s="779"/>
      <c r="G181" s="812"/>
      <c r="H181" s="800"/>
      <c r="I181" s="801"/>
      <c r="M181" s="378"/>
      <c r="N181" s="346">
        <f>IFERROR(VLOOKUP(G181,Ch3_Storage,2, FALSE),0)</f>
        <v>0</v>
      </c>
    </row>
    <row r="182" ht="18.75" customHeight="1">
      <c r="A182" s="598">
        <f>IFERROR(VLOOKUP(H182,PartyStorage,2, FALSE),0)</f>
        <v>0</v>
      </c>
      <c r="B182" s="813"/>
      <c r="C182" s="772"/>
      <c r="D182" s="814"/>
      <c r="E182" s="805" t="str">
        <f t="shared" si="1"/>
        <v/>
      </c>
      <c r="F182" s="772"/>
      <c r="G182" s="815"/>
      <c r="H182" s="807"/>
      <c r="I182" s="808"/>
      <c r="M182" s="809"/>
      <c r="N182" s="346">
        <f>IFERROR(VLOOKUP(G182,Ch3_Storage,2, FALSE),0)</f>
        <v>0</v>
      </c>
    </row>
    <row r="183" ht="18.75" customHeight="1">
      <c r="A183" s="598">
        <f>IFERROR(VLOOKUP(H183,PartyStorage,2, FALSE),0)</f>
        <v>0</v>
      </c>
      <c r="B183" s="810"/>
      <c r="C183" s="779"/>
      <c r="D183" s="811"/>
      <c r="E183" s="799" t="str">
        <f t="shared" si="1"/>
        <v/>
      </c>
      <c r="F183" s="779"/>
      <c r="G183" s="812"/>
      <c r="H183" s="800"/>
      <c r="I183" s="801"/>
      <c r="M183" s="378"/>
      <c r="N183" s="346">
        <f>IFERROR(VLOOKUP(G183,Ch3_Storage,2, FALSE),0)</f>
        <v>0</v>
      </c>
    </row>
    <row r="184" ht="18.75" customHeight="1">
      <c r="A184" s="598">
        <f>IFERROR(VLOOKUP(H184,PartyStorage,2, FALSE),0)</f>
        <v>0</v>
      </c>
      <c r="B184" s="813"/>
      <c r="C184" s="772"/>
      <c r="D184" s="814"/>
      <c r="E184" s="805" t="str">
        <f t="shared" si="1"/>
        <v/>
      </c>
      <c r="F184" s="772"/>
      <c r="G184" s="815"/>
      <c r="H184" s="807"/>
      <c r="I184" s="808"/>
      <c r="M184" s="809"/>
      <c r="N184" s="346">
        <f>IFERROR(VLOOKUP(G184,Ch3_Storage,2, FALSE),0)</f>
        <v>0</v>
      </c>
    </row>
    <row r="185" ht="18.75" customHeight="1">
      <c r="A185" s="598">
        <f>IFERROR(VLOOKUP(H185,PartyStorage,2, FALSE),0)</f>
        <v>0</v>
      </c>
      <c r="B185" s="810"/>
      <c r="C185" s="779"/>
      <c r="D185" s="811"/>
      <c r="E185" s="799" t="str">
        <f t="shared" si="1"/>
        <v/>
      </c>
      <c r="F185" s="779"/>
      <c r="G185" s="812"/>
      <c r="H185" s="800"/>
      <c r="I185" s="801"/>
      <c r="M185" s="378"/>
      <c r="N185" s="346">
        <f>IFERROR(VLOOKUP(G185,Ch3_Storage,2, FALSE),0)</f>
        <v>0</v>
      </c>
    </row>
    <row r="186" ht="18.75" customHeight="1">
      <c r="A186" s="598">
        <f>IFERROR(VLOOKUP(H186,PartyStorage,2, FALSE),0)</f>
        <v>0</v>
      </c>
      <c r="B186" s="813"/>
      <c r="C186" s="772"/>
      <c r="D186" s="814"/>
      <c r="E186" s="805" t="str">
        <f t="shared" si="1"/>
        <v/>
      </c>
      <c r="F186" s="772"/>
      <c r="G186" s="815"/>
      <c r="H186" s="807"/>
      <c r="I186" s="808"/>
      <c r="M186" s="809"/>
      <c r="N186" s="346">
        <f>IFERROR(VLOOKUP(G186,Ch3_Storage,2, FALSE),0)</f>
        <v>0</v>
      </c>
    </row>
    <row r="187" ht="18.75" customHeight="1">
      <c r="A187" s="598">
        <f>IFERROR(VLOOKUP(H187,PartyStorage,2, FALSE),0)</f>
        <v>0</v>
      </c>
      <c r="B187" s="810"/>
      <c r="C187" s="779"/>
      <c r="D187" s="811"/>
      <c r="E187" s="799" t="str">
        <f t="shared" si="1"/>
        <v/>
      </c>
      <c r="F187" s="779"/>
      <c r="G187" s="812"/>
      <c r="H187" s="800"/>
      <c r="I187" s="801"/>
      <c r="M187" s="378"/>
      <c r="N187" s="346">
        <f>IFERROR(VLOOKUP(G187,Ch3_Storage,2, FALSE),0)</f>
        <v>0</v>
      </c>
    </row>
    <row r="188" ht="18.75" customHeight="1">
      <c r="A188" s="598">
        <f>IFERROR(VLOOKUP(H188,PartyStorage,2, FALSE),0)</f>
        <v>0</v>
      </c>
      <c r="B188" s="813"/>
      <c r="C188" s="772"/>
      <c r="D188" s="814"/>
      <c r="E188" s="805" t="str">
        <f t="shared" si="1"/>
        <v/>
      </c>
      <c r="F188" s="772"/>
      <c r="G188" s="815"/>
      <c r="H188" s="807"/>
      <c r="I188" s="808"/>
      <c r="M188" s="809"/>
      <c r="N188" s="346">
        <f>IFERROR(VLOOKUP(G188,Ch3_Storage,2, FALSE),0)</f>
        <v>0</v>
      </c>
    </row>
    <row r="189" ht="18.75" customHeight="1">
      <c r="A189" s="598">
        <f>IFERROR(VLOOKUP(H189,PartyStorage,2, FALSE),0)</f>
        <v>0</v>
      </c>
      <c r="B189" s="810"/>
      <c r="C189" s="779"/>
      <c r="D189" s="811"/>
      <c r="E189" s="799" t="str">
        <f t="shared" si="1"/>
        <v/>
      </c>
      <c r="F189" s="779"/>
      <c r="G189" s="812"/>
      <c r="H189" s="800"/>
      <c r="I189" s="801"/>
      <c r="M189" s="378"/>
      <c r="N189" s="346">
        <f>IFERROR(VLOOKUP(G189,Ch3_Storage,2, FALSE),0)</f>
        <v>0</v>
      </c>
    </row>
    <row r="190" ht="18.75" customHeight="1">
      <c r="A190" s="598">
        <f>IFERROR(VLOOKUP(H190,PartyStorage,2, FALSE),0)</f>
        <v>0</v>
      </c>
      <c r="B190" s="813"/>
      <c r="C190" s="772"/>
      <c r="D190" s="814"/>
      <c r="E190" s="805" t="str">
        <f t="shared" si="1"/>
        <v/>
      </c>
      <c r="F190" s="772"/>
      <c r="G190" s="815"/>
      <c r="H190" s="807"/>
      <c r="I190" s="808"/>
      <c r="M190" s="809"/>
      <c r="N190" s="346">
        <f>IFERROR(VLOOKUP(G190,Ch3_Storage,2, FALSE),0)</f>
        <v>0</v>
      </c>
    </row>
    <row r="191" ht="18.75" customHeight="1">
      <c r="A191" s="598">
        <f>IFERROR(VLOOKUP(H191,PartyStorage,2, FALSE),0)</f>
        <v>0</v>
      </c>
      <c r="B191" s="810"/>
      <c r="C191" s="779"/>
      <c r="D191" s="811"/>
      <c r="E191" s="799" t="str">
        <f t="shared" si="1"/>
        <v/>
      </c>
      <c r="F191" s="779"/>
      <c r="G191" s="812"/>
      <c r="H191" s="800"/>
      <c r="I191" s="801"/>
      <c r="M191" s="378"/>
      <c r="N191" s="346">
        <f>IFERROR(VLOOKUP(G191,Ch3_Storage,2, FALSE),0)</f>
        <v>0</v>
      </c>
    </row>
    <row r="192" ht="18.75" customHeight="1">
      <c r="A192" s="598">
        <f>IFERROR(VLOOKUP(H192,PartyStorage,2, FALSE),0)</f>
        <v>0</v>
      </c>
      <c r="B192" s="813"/>
      <c r="C192" s="772"/>
      <c r="D192" s="814"/>
      <c r="E192" s="805" t="str">
        <f t="shared" si="1"/>
        <v/>
      </c>
      <c r="F192" s="772"/>
      <c r="G192" s="815"/>
      <c r="H192" s="807"/>
      <c r="I192" s="808"/>
      <c r="M192" s="809"/>
      <c r="N192" s="346">
        <f>IFERROR(VLOOKUP(G192,Ch3_Storage,2, FALSE),0)</f>
        <v>0</v>
      </c>
    </row>
    <row r="193" ht="18.75" customHeight="1">
      <c r="A193" s="598">
        <f>IFERROR(VLOOKUP(H193,PartyStorage,2, FALSE),0)</f>
        <v>0</v>
      </c>
      <c r="B193" s="810"/>
      <c r="C193" s="779"/>
      <c r="D193" s="811"/>
      <c r="E193" s="799" t="str">
        <f t="shared" si="1"/>
        <v/>
      </c>
      <c r="F193" s="779"/>
      <c r="G193" s="812"/>
      <c r="H193" s="800"/>
      <c r="I193" s="801"/>
      <c r="M193" s="378"/>
      <c r="N193" s="346">
        <f>IFERROR(VLOOKUP(G193,Ch3_Storage,2, FALSE),0)</f>
        <v>0</v>
      </c>
    </row>
    <row r="194" ht="18.75" customHeight="1">
      <c r="A194" s="598">
        <f>IFERROR(VLOOKUP(H194,PartyStorage,2, FALSE),0)</f>
        <v>0</v>
      </c>
      <c r="B194" s="813"/>
      <c r="C194" s="772"/>
      <c r="D194" s="814"/>
      <c r="E194" s="805" t="str">
        <f t="shared" si="1"/>
        <v/>
      </c>
      <c r="F194" s="772"/>
      <c r="G194" s="815"/>
      <c r="H194" s="807"/>
      <c r="I194" s="808"/>
      <c r="M194" s="809"/>
      <c r="N194" s="346">
        <f>IFERROR(VLOOKUP(G194,Ch3_Storage,2, FALSE),0)</f>
        <v>0</v>
      </c>
    </row>
    <row r="195" ht="18.75" customHeight="1">
      <c r="A195" s="598">
        <f>IFERROR(VLOOKUP(H195,PartyStorage,2, FALSE),0)</f>
        <v>0</v>
      </c>
      <c r="B195" s="810"/>
      <c r="C195" s="779"/>
      <c r="D195" s="811"/>
      <c r="E195" s="799" t="str">
        <f t="shared" si="1"/>
        <v/>
      </c>
      <c r="F195" s="779"/>
      <c r="G195" s="812"/>
      <c r="H195" s="800"/>
      <c r="I195" s="801"/>
      <c r="M195" s="378"/>
      <c r="N195" s="346">
        <f>IFERROR(VLOOKUP(G195,Ch3_Storage,2, FALSE),0)</f>
        <v>0</v>
      </c>
    </row>
    <row r="196" ht="18.75" customHeight="1">
      <c r="A196" s="598">
        <f>IFERROR(VLOOKUP(H196,PartyStorage,2, FALSE),0)</f>
        <v>0</v>
      </c>
      <c r="B196" s="813"/>
      <c r="C196" s="772"/>
      <c r="D196" s="814"/>
      <c r="E196" s="805" t="str">
        <f t="shared" si="1"/>
        <v/>
      </c>
      <c r="F196" s="772"/>
      <c r="G196" s="815"/>
      <c r="H196" s="807"/>
      <c r="I196" s="808"/>
      <c r="M196" s="809"/>
      <c r="N196" s="346">
        <f>IFERROR(VLOOKUP(G196,Ch3_Storage,2, FALSE),0)</f>
        <v>0</v>
      </c>
    </row>
    <row r="197" ht="18.75" customHeight="1">
      <c r="A197" s="598">
        <f>IFERROR(VLOOKUP(H197,PartyStorage,2, FALSE),0)</f>
        <v>0</v>
      </c>
      <c r="B197" s="810"/>
      <c r="C197" s="779"/>
      <c r="D197" s="811"/>
      <c r="E197" s="799" t="str">
        <f t="shared" si="1"/>
        <v/>
      </c>
      <c r="F197" s="779"/>
      <c r="G197" s="812"/>
      <c r="H197" s="800"/>
      <c r="I197" s="801"/>
      <c r="M197" s="378"/>
      <c r="N197" s="346">
        <f>IFERROR(VLOOKUP(G197,Ch3_Storage,2, FALSE),0)</f>
        <v>0</v>
      </c>
    </row>
    <row r="198" ht="18.75" customHeight="1">
      <c r="A198" s="598">
        <f>IFERROR(VLOOKUP(H198,PartyStorage,2, FALSE),0)</f>
        <v>0</v>
      </c>
      <c r="B198" s="813"/>
      <c r="C198" s="772"/>
      <c r="D198" s="814"/>
      <c r="E198" s="805" t="str">
        <f t="shared" si="1"/>
        <v/>
      </c>
      <c r="F198" s="772"/>
      <c r="G198" s="815"/>
      <c r="H198" s="807"/>
      <c r="I198" s="808"/>
      <c r="M198" s="809"/>
      <c r="N198" s="346">
        <f>IFERROR(VLOOKUP(G198,Ch3_Storage,2, FALSE),0)</f>
        <v>0</v>
      </c>
    </row>
    <row r="199" ht="18.75" customHeight="1">
      <c r="A199" s="598">
        <f>IFERROR(VLOOKUP(H199,PartyStorage,2, FALSE),0)</f>
        <v>0</v>
      </c>
      <c r="B199" s="810"/>
      <c r="C199" s="779"/>
      <c r="D199" s="811"/>
      <c r="E199" s="799" t="str">
        <f t="shared" si="1"/>
        <v/>
      </c>
      <c r="F199" s="779"/>
      <c r="G199" s="812"/>
      <c r="H199" s="800"/>
      <c r="I199" s="801"/>
      <c r="M199" s="378"/>
      <c r="N199" s="346">
        <f>IFERROR(VLOOKUP(G199,Ch3_Storage,2, FALSE),0)</f>
        <v>0</v>
      </c>
    </row>
    <row r="200" ht="18.75" customHeight="1">
      <c r="A200" s="598">
        <f>IFERROR(VLOOKUP(H200,PartyStorage,2, FALSE),0)</f>
        <v>0</v>
      </c>
      <c r="B200" s="813"/>
      <c r="C200" s="772"/>
      <c r="D200" s="814"/>
      <c r="E200" s="805" t="str">
        <f t="shared" si="1"/>
        <v/>
      </c>
      <c r="F200" s="772"/>
      <c r="G200" s="815"/>
      <c r="H200" s="807"/>
      <c r="I200" s="808"/>
      <c r="M200" s="809"/>
      <c r="N200" s="346">
        <f>IFERROR(VLOOKUP(G200,Ch3_Storage,2, FALSE),0)</f>
        <v>0</v>
      </c>
    </row>
    <row r="201" ht="18.75" customHeight="1">
      <c r="A201" s="598">
        <f>IFERROR(VLOOKUP(H201,PartyStorage,2, FALSE),0)</f>
        <v>0</v>
      </c>
      <c r="B201" s="810"/>
      <c r="C201" s="779"/>
      <c r="D201" s="811"/>
      <c r="E201" s="799" t="str">
        <f t="shared" si="1"/>
        <v/>
      </c>
      <c r="F201" s="779"/>
      <c r="G201" s="812"/>
      <c r="H201" s="800"/>
      <c r="I201" s="801"/>
      <c r="M201" s="378"/>
      <c r="N201" s="346">
        <f>IFERROR(VLOOKUP(G201,Ch3_Storage,2, FALSE),0)</f>
        <v>0</v>
      </c>
    </row>
    <row r="202" ht="18.75" customHeight="1">
      <c r="A202" s="598">
        <f>IFERROR(VLOOKUP(H202,PartyStorage,2, FALSE),0)</f>
        <v>0</v>
      </c>
      <c r="B202" s="813"/>
      <c r="C202" s="772"/>
      <c r="D202" s="814"/>
      <c r="E202" s="805" t="str">
        <f t="shared" si="1"/>
        <v/>
      </c>
      <c r="F202" s="772"/>
      <c r="G202" s="815"/>
      <c r="H202" s="807"/>
      <c r="I202" s="808"/>
      <c r="M202" s="809"/>
      <c r="N202" s="346">
        <f>IFERROR(VLOOKUP(G202,Ch3_Storage,2, FALSE),0)</f>
        <v>0</v>
      </c>
    </row>
    <row r="203" ht="18.75" customHeight="1">
      <c r="A203" s="598">
        <f>IFERROR(VLOOKUP(H203,PartyStorage,2, FALSE),0)</f>
        <v>0</v>
      </c>
      <c r="B203" s="810"/>
      <c r="C203" s="779"/>
      <c r="D203" s="811"/>
      <c r="E203" s="799" t="str">
        <f t="shared" si="1"/>
        <v/>
      </c>
      <c r="F203" s="779"/>
      <c r="G203" s="812"/>
      <c r="H203" s="800"/>
      <c r="I203" s="801"/>
      <c r="M203" s="378"/>
      <c r="N203" s="346">
        <f>IFERROR(VLOOKUP(G203,Ch3_Storage,2, FALSE),0)</f>
        <v>0</v>
      </c>
    </row>
    <row r="204" ht="18.75" customHeight="1">
      <c r="A204" s="598">
        <f>IFERROR(VLOOKUP(H204,PartyStorage,2, FALSE),0)</f>
        <v>0</v>
      </c>
      <c r="B204" s="813"/>
      <c r="C204" s="772"/>
      <c r="D204" s="814"/>
      <c r="E204" s="805" t="str">
        <f t="shared" si="1"/>
        <v/>
      </c>
      <c r="F204" s="772"/>
      <c r="G204" s="815"/>
      <c r="H204" s="807"/>
      <c r="I204" s="808"/>
      <c r="M204" s="809"/>
      <c r="N204" s="346">
        <f>IFERROR(VLOOKUP(G204,Ch3_Storage,2, FALSE),0)</f>
        <v>0</v>
      </c>
    </row>
    <row r="205" ht="18.75" customHeight="1">
      <c r="A205" s="598">
        <f>IFERROR(VLOOKUP(H205,PartyStorage,2, FALSE),0)</f>
        <v>0</v>
      </c>
      <c r="B205" s="810"/>
      <c r="C205" s="779"/>
      <c r="D205" s="811"/>
      <c r="E205" s="799" t="str">
        <f t="shared" si="1"/>
        <v/>
      </c>
      <c r="F205" s="779"/>
      <c r="G205" s="812"/>
      <c r="H205" s="800"/>
      <c r="I205" s="801"/>
      <c r="M205" s="378"/>
      <c r="N205" s="346">
        <f>IFERROR(VLOOKUP(G205,Ch3_Storage,2, FALSE),0)</f>
        <v>0</v>
      </c>
    </row>
    <row r="206" ht="18.75" customHeight="1">
      <c r="A206" s="598">
        <f>IFERROR(VLOOKUP(H206,PartyStorage,2, FALSE),0)</f>
        <v>0</v>
      </c>
      <c r="B206" s="813"/>
      <c r="C206" s="772"/>
      <c r="D206" s="814"/>
      <c r="E206" s="805" t="str">
        <f t="shared" si="1"/>
        <v/>
      </c>
      <c r="F206" s="772"/>
      <c r="G206" s="815"/>
      <c r="H206" s="807"/>
      <c r="I206" s="808"/>
      <c r="M206" s="809"/>
      <c r="N206" s="346">
        <f>IFERROR(VLOOKUP(G206,Ch3_Storage,2, FALSE),0)</f>
        <v>0</v>
      </c>
    </row>
    <row r="207" ht="18.75" customHeight="1">
      <c r="A207" s="598">
        <f>IFERROR(VLOOKUP(H207,PartyStorage,2, FALSE),0)</f>
        <v>0</v>
      </c>
      <c r="B207" s="810"/>
      <c r="C207" s="779"/>
      <c r="D207" s="811"/>
      <c r="E207" s="799" t="str">
        <f t="shared" si="1"/>
        <v/>
      </c>
      <c r="F207" s="779"/>
      <c r="G207" s="812"/>
      <c r="H207" s="800"/>
      <c r="I207" s="801"/>
      <c r="M207" s="378"/>
      <c r="N207" s="346">
        <f>IFERROR(VLOOKUP(G207,Ch3_Storage,2, FALSE),0)</f>
        <v>0</v>
      </c>
    </row>
    <row r="208" ht="18.75" customHeight="1">
      <c r="A208" s="598">
        <f>IFERROR(VLOOKUP(H208,PartyStorage,2, FALSE),0)</f>
        <v>0</v>
      </c>
      <c r="B208" s="816"/>
      <c r="C208" s="784"/>
      <c r="D208" s="817"/>
      <c r="E208" s="818" t="str">
        <f t="shared" si="1"/>
        <v/>
      </c>
      <c r="F208" s="784"/>
      <c r="G208" s="819"/>
      <c r="H208" s="820"/>
      <c r="I208" s="821"/>
      <c r="J208" s="822"/>
      <c r="K208" s="822"/>
      <c r="L208" s="822"/>
      <c r="M208" s="823"/>
      <c r="N208" s="346">
        <f>IFERROR(VLOOKUP(G208,Ch3_Storage,2, FALSE),0)</f>
        <v>0</v>
      </c>
    </row>
    <row r="209" ht="7.5" customHeight="1">
      <c r="A209" s="380"/>
      <c r="B209" s="261"/>
      <c r="C209" s="261"/>
      <c r="D209" s="261"/>
      <c r="E209" s="261"/>
      <c r="F209" s="261"/>
      <c r="G209" s="261"/>
      <c r="H209" s="261"/>
      <c r="I209" s="261"/>
      <c r="J209" s="261"/>
      <c r="K209" s="261"/>
      <c r="L209" s="261"/>
      <c r="M209" s="261"/>
      <c r="N209" s="346"/>
    </row>
  </sheetData>
  <mergeCells count="199">
    <mergeCell ref="B4:C4"/>
    <mergeCell ref="B5:C5"/>
    <mergeCell ref="B3:C3"/>
    <mergeCell ref="B6:C6"/>
    <mergeCell ref="B2:C2"/>
    <mergeCell ref="B7:C7"/>
    <mergeCell ref="B9:C9"/>
    <mergeCell ref="B17:C1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93:M193"/>
    <mergeCell ref="I194:M194"/>
    <mergeCell ref="I195:M195"/>
    <mergeCell ref="I196:M196"/>
    <mergeCell ref="I197:M197"/>
    <mergeCell ref="I198:M198"/>
    <mergeCell ref="I199:M199"/>
    <mergeCell ref="I207:M207"/>
    <mergeCell ref="I208:M208"/>
    <mergeCell ref="I200:M200"/>
    <mergeCell ref="I201:M201"/>
    <mergeCell ref="I202:M202"/>
    <mergeCell ref="I203:M203"/>
    <mergeCell ref="I204:M204"/>
    <mergeCell ref="I205:M205"/>
    <mergeCell ref="I206:M206"/>
    <mergeCell ref="I144:M144"/>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5" priority="4">
      <formula>IF($N$2="",true,false)</formula>
    </cfRule>
  </conditionalFormatting>
  <conditionalFormatting sqref="K3:M7">
    <cfRule type="expression" dxfId="6" priority="5">
      <formula>IF($N$2="",true,false)</formula>
    </cfRule>
  </conditionalFormatting>
  <dataValidations>
    <dataValidation type="list" allowBlank="1" showErrorMessage="1" sqref="H27:H208">
      <formula1>PartyStorageSingle</formula1>
    </dataValidation>
    <dataValidation type="list" allowBlank="1" showInputMessage="1" showErrorMessage="1" prompt="Every item must have a PC or party storage location" sqref="G27:G208">
      <formula1>'Character Info'!$T$6:$T$15</formula1>
    </dataValidation>
  </dataValidations>
  <hyperlinks>
    <hyperlink r:id="rId2" ref="E1"/>
    <hyperlink r:id="rId3" ref="I1"/>
  </hyperlinks>
  <drawing r:id="rId4"/>
  <legacyDrawing r:id="rId5"/>
  <tableParts count="2">
    <tablePart r:id="rId8"/>
    <tablePart r:id="rId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283" t="str">
        <f>Ch8_Name</f>
        <v/>
      </c>
      <c r="B1" s="437"/>
      <c r="C1" s="438"/>
      <c r="D1" s="438"/>
      <c r="E1" s="248" t="s">
        <v>62</v>
      </c>
      <c r="F1" s="438"/>
      <c r="G1" s="439"/>
      <c r="H1" s="439"/>
      <c r="I1" s="440" t="s">
        <v>63</v>
      </c>
      <c r="J1" s="426"/>
      <c r="K1" s="439"/>
      <c r="L1" s="439"/>
      <c r="M1" s="439"/>
      <c r="N1" s="439"/>
      <c r="O1" s="439"/>
      <c r="P1" s="439"/>
      <c r="Q1" s="439"/>
      <c r="R1" s="439"/>
      <c r="S1" s="439"/>
      <c r="T1" s="439"/>
      <c r="U1" s="439"/>
      <c r="V1" s="439"/>
      <c r="W1" s="439"/>
      <c r="X1" s="439"/>
      <c r="Y1" s="439"/>
      <c r="Z1" s="439"/>
      <c r="AA1" s="439"/>
      <c r="AB1" s="439"/>
    </row>
    <row r="2" ht="18.75" customHeight="1">
      <c r="A2" s="543" t="str">
        <f>IF(ISBLANK(Ch8_Size),"",VLOOKUP(Ch8_Size,SizeMultipliers,2, FALSE))</f>
        <v/>
      </c>
      <c r="B2" s="824" t="s">
        <v>64</v>
      </c>
      <c r="C2" s="825"/>
      <c r="D2" s="826"/>
      <c r="E2" s="547" t="str">
        <f>IMAGE(E1,1)</f>
        <v/>
      </c>
      <c r="G2" s="827" t="s">
        <v>65</v>
      </c>
      <c r="H2" s="828"/>
      <c r="I2" s="446" t="str">
        <f>IMAGE(I1,1)</f>
        <v/>
      </c>
      <c r="K2" s="824" t="str">
        <f>IF(ISBLANK(Ch8_MountName),"Mount",Ch8_MountName)&amp;"'s Encumbrance"</f>
        <v>Mount's Encumbrance</v>
      </c>
      <c r="L2" s="195"/>
      <c r="M2" s="196"/>
      <c r="N2" s="348" t="str">
        <f>IF(ISBLANK(Ch8_MountSize),"",VLOOKUP(Ch8_MountSize,SizeMultipliers,2, FALSE))</f>
        <v/>
      </c>
    </row>
    <row r="3" ht="18.75" customHeight="1">
      <c r="A3" s="289"/>
      <c r="B3" s="352" t="s">
        <v>53</v>
      </c>
      <c r="C3" s="353"/>
      <c r="D3" s="829">
        <f>Ch8_Str*Ch8_SizeMultiplier*5</f>
        <v>0</v>
      </c>
      <c r="G3" s="830" t="s">
        <v>66</v>
      </c>
      <c r="H3" s="831"/>
      <c r="K3" s="352" t="s">
        <v>53</v>
      </c>
      <c r="L3" s="353"/>
      <c r="M3" s="829">
        <f>Ch8_MountStr*Ch8_MountSizeMult*5</f>
        <v>0</v>
      </c>
      <c r="N3" s="553"/>
    </row>
    <row r="4" ht="18.75" customHeight="1">
      <c r="A4" s="289"/>
      <c r="B4" s="832" t="s">
        <v>55</v>
      </c>
      <c r="C4" s="833"/>
      <c r="D4" s="834">
        <f>Ch8_Str*Ch8_SizeMultiplier*10</f>
        <v>0</v>
      </c>
      <c r="G4" s="835" t="s">
        <v>67</v>
      </c>
      <c r="H4" s="831">
        <f>(VLOOKUP(ADD(Ch8_Level,1),XPTable_v,2))-Ch8_XP</f>
        <v>300</v>
      </c>
      <c r="K4" s="832" t="s">
        <v>55</v>
      </c>
      <c r="L4" s="833"/>
      <c r="M4" s="834">
        <f>Ch8_MountStr*Ch8_MountSizeMult*10</f>
        <v>0</v>
      </c>
      <c r="N4" s="553"/>
    </row>
    <row r="5" ht="18.75" customHeight="1">
      <c r="A5" s="289"/>
      <c r="B5" s="352" t="s">
        <v>17</v>
      </c>
      <c r="C5" s="353"/>
      <c r="D5" s="829">
        <f>Ch8_Str*Ch8_SizeMultiplier*15</f>
        <v>0</v>
      </c>
      <c r="G5" s="836" t="s">
        <v>68</v>
      </c>
      <c r="H5" s="837">
        <f>MATCH(Ch8_XP,XPTable_m,2)</f>
        <v>1</v>
      </c>
      <c r="K5" s="352" t="s">
        <v>17</v>
      </c>
      <c r="L5" s="353"/>
      <c r="M5" s="829">
        <f>Ch8_MountStr*Ch8_MountSizeMult*15</f>
        <v>0</v>
      </c>
      <c r="N5" s="553"/>
    </row>
    <row r="6" ht="18.75" customHeight="1">
      <c r="A6" s="289"/>
      <c r="B6" s="832" t="s">
        <v>57</v>
      </c>
      <c r="C6" s="833"/>
      <c r="D6" s="834">
        <f>Ch8_Str*Ch8_SizeMultiplier*30</f>
        <v>0</v>
      </c>
      <c r="G6" s="17"/>
      <c r="H6" s="17"/>
      <c r="K6" s="832" t="s">
        <v>57</v>
      </c>
      <c r="L6" s="833"/>
      <c r="M6" s="834">
        <f>Ch8_MountStr*Ch8_MountSizeMult*30</f>
        <v>0</v>
      </c>
      <c r="N6" s="553"/>
    </row>
    <row r="7" ht="18.75" customHeight="1">
      <c r="A7" s="289"/>
      <c r="B7" s="457" t="s">
        <v>43</v>
      </c>
      <c r="C7" s="838"/>
      <c r="D7" s="839">
        <f t="array" ref="D7">SUMIF(Ch8_EquipStatus,"=On Character",Ch8_InventoryWeights)</f>
        <v>0</v>
      </c>
      <c r="G7" s="840" t="s">
        <v>30</v>
      </c>
      <c r="H7" s="461">
        <f>SUM(G11:G15,G19:G24)</f>
        <v>0</v>
      </c>
      <c r="K7" s="369" t="s">
        <v>43</v>
      </c>
      <c r="L7" s="838"/>
      <c r="M7" s="841">
        <f t="array" ref="M7">SUMIF(Ch8_EquipStatus,"=On Mount",Ch8_InventoryWeights)+++IF( NOT(EQ(N2,"")),D7+Ch8_Weight,"")</f>
        <v>0</v>
      </c>
      <c r="N7" s="553"/>
    </row>
    <row r="8" ht="7.5" customHeight="1">
      <c r="A8" s="289"/>
      <c r="B8" s="463"/>
      <c r="C8" s="464"/>
      <c r="D8" s="465"/>
      <c r="E8" s="464"/>
      <c r="F8" s="464"/>
      <c r="G8" s="464"/>
      <c r="H8" s="464"/>
      <c r="I8" s="466"/>
      <c r="J8" s="467"/>
      <c r="K8" s="467"/>
      <c r="L8" s="467"/>
      <c r="M8" s="467"/>
      <c r="N8" s="553"/>
    </row>
    <row r="9" ht="18.75" customHeight="1">
      <c r="A9" s="289"/>
      <c r="B9" s="842" t="s">
        <v>28</v>
      </c>
      <c r="C9" s="843"/>
      <c r="D9" s="844" t="s">
        <v>29</v>
      </c>
      <c r="E9" s="845"/>
      <c r="F9" s="845"/>
      <c r="G9" s="845"/>
      <c r="H9" s="845"/>
      <c r="I9" s="846"/>
      <c r="J9" s="847"/>
      <c r="K9" s="847"/>
      <c r="L9" s="847"/>
      <c r="M9" s="848"/>
      <c r="N9" s="553"/>
    </row>
    <row r="10" ht="18.75" customHeight="1">
      <c r="A10" s="289"/>
      <c r="B10" s="849" t="s">
        <v>31</v>
      </c>
      <c r="C10" s="850" t="s">
        <v>11</v>
      </c>
      <c r="D10" s="850" t="s">
        <v>32</v>
      </c>
      <c r="E10" s="850" t="s">
        <v>33</v>
      </c>
      <c r="F10" s="850" t="s">
        <v>34</v>
      </c>
      <c r="G10" s="850" t="s">
        <v>35</v>
      </c>
      <c r="H10" s="850" t="s">
        <v>36</v>
      </c>
      <c r="I10" s="850" t="s">
        <v>37</v>
      </c>
      <c r="J10" s="850" t="s">
        <v>38</v>
      </c>
      <c r="K10" s="850" t="s">
        <v>39</v>
      </c>
      <c r="L10" s="850" t="s">
        <v>40</v>
      </c>
      <c r="M10" s="851" t="s">
        <v>41</v>
      </c>
      <c r="N10" s="329"/>
    </row>
    <row r="11" ht="18.75" customHeight="1">
      <c r="A11" s="289"/>
      <c r="B11" s="852"/>
      <c r="C11" s="853" t="s">
        <v>42</v>
      </c>
      <c r="D11" s="854" t="str">
        <f>B11</f>
        <v/>
      </c>
      <c r="E11" s="855">
        <f>B11/10</f>
        <v>0</v>
      </c>
      <c r="F11" s="855">
        <f>B11/50</f>
        <v>0</v>
      </c>
      <c r="G11" s="855">
        <f>B11/100</f>
        <v>0</v>
      </c>
      <c r="H11" s="855">
        <f>B11/1000</f>
        <v>0</v>
      </c>
      <c r="I11" s="856">
        <f>B11/5000</f>
        <v>0</v>
      </c>
      <c r="J11" s="857">
        <f>B11/10000</f>
        <v>0</v>
      </c>
      <c r="K11" s="857">
        <f>B11/50000</f>
        <v>0</v>
      </c>
      <c r="L11" s="857">
        <f>B11/100000</f>
        <v>0</v>
      </c>
      <c r="M11" s="858">
        <f>B11/500000</f>
        <v>0</v>
      </c>
      <c r="N11" s="553"/>
    </row>
    <row r="12" ht="18.75" customHeight="1">
      <c r="A12" s="289"/>
      <c r="B12" s="693"/>
      <c r="C12" s="853" t="s">
        <v>44</v>
      </c>
      <c r="D12" s="855">
        <f>B12*10</f>
        <v>0</v>
      </c>
      <c r="E12" s="859" t="str">
        <f>B12</f>
        <v/>
      </c>
      <c r="F12" s="855">
        <f>B12/5</f>
        <v>0</v>
      </c>
      <c r="G12" s="855">
        <f>B12/10</f>
        <v>0</v>
      </c>
      <c r="H12" s="855">
        <f>B12/100</f>
        <v>0</v>
      </c>
      <c r="I12" s="855">
        <f>B12/500</f>
        <v>0</v>
      </c>
      <c r="J12" s="855">
        <f>B12/1000</f>
        <v>0</v>
      </c>
      <c r="K12" s="855">
        <f>B12/5000</f>
        <v>0</v>
      </c>
      <c r="L12" s="855">
        <f>B12/10000</f>
        <v>0</v>
      </c>
      <c r="M12" s="860">
        <f>B12/50000</f>
        <v>0</v>
      </c>
      <c r="N12" s="553"/>
    </row>
    <row r="13" ht="18.75" customHeight="1">
      <c r="A13" s="289"/>
      <c r="B13" s="693"/>
      <c r="C13" s="853" t="s">
        <v>45</v>
      </c>
      <c r="D13" s="855">
        <f>B13*50</f>
        <v>0</v>
      </c>
      <c r="E13" s="855">
        <f>B13*5</f>
        <v>0</v>
      </c>
      <c r="F13" s="859" t="str">
        <f>B13</f>
        <v/>
      </c>
      <c r="G13" s="855">
        <f>B13/2</f>
        <v>0</v>
      </c>
      <c r="H13" s="855">
        <f>B13/20</f>
        <v>0</v>
      </c>
      <c r="I13" s="855">
        <f>B13/100</f>
        <v>0</v>
      </c>
      <c r="J13" s="857">
        <f>B13/200</f>
        <v>0</v>
      </c>
      <c r="K13" s="857">
        <f>B13/1000</f>
        <v>0</v>
      </c>
      <c r="L13" s="857">
        <f>B13/2000</f>
        <v>0</v>
      </c>
      <c r="M13" s="858">
        <f>B13/10000</f>
        <v>0</v>
      </c>
      <c r="N13" s="553"/>
    </row>
    <row r="14" ht="18.75" customHeight="1">
      <c r="A14" s="289"/>
      <c r="B14" s="693"/>
      <c r="C14" s="853" t="s">
        <v>46</v>
      </c>
      <c r="D14" s="855">
        <f>B14*100</f>
        <v>0</v>
      </c>
      <c r="E14" s="855">
        <f>B14*10</f>
        <v>0</v>
      </c>
      <c r="F14" s="855">
        <f>B14*2</f>
        <v>0</v>
      </c>
      <c r="G14" s="859" t="str">
        <f>B14</f>
        <v/>
      </c>
      <c r="H14" s="855">
        <f>B14/10</f>
        <v>0</v>
      </c>
      <c r="I14" s="855">
        <f>B14/50</f>
        <v>0</v>
      </c>
      <c r="J14" s="857">
        <f>B14/100</f>
        <v>0</v>
      </c>
      <c r="K14" s="857">
        <f>B14/500</f>
        <v>0</v>
      </c>
      <c r="L14" s="857">
        <f>B14/1000</f>
        <v>0</v>
      </c>
      <c r="M14" s="858">
        <f>B14/5000</f>
        <v>0</v>
      </c>
      <c r="N14" s="553"/>
    </row>
    <row r="15" ht="18.75" customHeight="1">
      <c r="A15" s="289"/>
      <c r="B15" s="701"/>
      <c r="C15" s="861" t="s">
        <v>47</v>
      </c>
      <c r="D15" s="862">
        <f>B15*1000</f>
        <v>0</v>
      </c>
      <c r="E15" s="862">
        <f>B15*100</f>
        <v>0</v>
      </c>
      <c r="F15" s="862">
        <f>B15*20</f>
        <v>0</v>
      </c>
      <c r="G15" s="862">
        <f>B15*10</f>
        <v>0</v>
      </c>
      <c r="H15" s="862">
        <f>B15*1</f>
        <v>0</v>
      </c>
      <c r="I15" s="862">
        <f>B15/5</f>
        <v>0</v>
      </c>
      <c r="J15" s="863">
        <f>B15/10</f>
        <v>0</v>
      </c>
      <c r="K15" s="863">
        <f>B15/50</f>
        <v>0</v>
      </c>
      <c r="L15" s="863">
        <f>B15/100</f>
        <v>0</v>
      </c>
      <c r="M15" s="864">
        <f>B15/500</f>
        <v>0</v>
      </c>
      <c r="N15" s="553"/>
    </row>
    <row r="16" ht="7.5" customHeight="1">
      <c r="A16" s="289"/>
      <c r="B16" s="338"/>
      <c r="C16" s="339"/>
      <c r="D16" s="339"/>
      <c r="E16" s="339"/>
      <c r="F16" s="339"/>
      <c r="G16" s="339"/>
      <c r="H16" s="339"/>
      <c r="I16" s="339"/>
      <c r="J16" s="340"/>
      <c r="K16" s="340"/>
      <c r="L16" s="340"/>
      <c r="M16" s="340"/>
      <c r="N16" s="589"/>
      <c r="O16" s="114"/>
      <c r="P16" s="114"/>
      <c r="Q16" s="114"/>
      <c r="R16" s="114"/>
      <c r="S16" s="114"/>
      <c r="T16" s="114"/>
      <c r="U16" s="114"/>
      <c r="V16" s="114"/>
      <c r="W16" s="114"/>
      <c r="X16" s="114"/>
      <c r="Y16" s="114"/>
      <c r="Z16" s="114"/>
      <c r="AA16" s="114"/>
      <c r="AB16" s="114"/>
    </row>
    <row r="17" ht="18.75" customHeight="1">
      <c r="A17" s="289"/>
      <c r="B17" s="842" t="s">
        <v>48</v>
      </c>
      <c r="C17" s="845"/>
      <c r="D17" s="844" t="s">
        <v>29</v>
      </c>
      <c r="E17" s="845"/>
      <c r="F17" s="845"/>
      <c r="G17" s="845"/>
      <c r="H17" s="845"/>
      <c r="I17" s="845"/>
      <c r="J17" s="847"/>
      <c r="K17" s="847"/>
      <c r="L17" s="847"/>
      <c r="M17" s="848"/>
      <c r="N17" s="553"/>
    </row>
    <row r="18" ht="18.75" customHeight="1">
      <c r="A18" s="289"/>
      <c r="B18" s="849" t="s">
        <v>31</v>
      </c>
      <c r="C18" s="850" t="s">
        <v>11</v>
      </c>
      <c r="D18" s="850" t="s">
        <v>32</v>
      </c>
      <c r="E18" s="850" t="s">
        <v>33</v>
      </c>
      <c r="F18" s="850" t="s">
        <v>34</v>
      </c>
      <c r="G18" s="850" t="s">
        <v>35</v>
      </c>
      <c r="H18" s="850" t="s">
        <v>36</v>
      </c>
      <c r="I18" s="850" t="s">
        <v>37</v>
      </c>
      <c r="J18" s="850" t="s">
        <v>38</v>
      </c>
      <c r="K18" s="850" t="s">
        <v>39</v>
      </c>
      <c r="L18" s="850" t="s">
        <v>40</v>
      </c>
      <c r="M18" s="851" t="s">
        <v>41</v>
      </c>
      <c r="N18" s="553"/>
    </row>
    <row r="19" ht="18.75" customHeight="1">
      <c r="A19" s="289"/>
      <c r="B19" s="865">
        <v>0.0</v>
      </c>
      <c r="C19" s="853" t="s">
        <v>49</v>
      </c>
      <c r="D19" s="855">
        <f>B19*1000</f>
        <v>0</v>
      </c>
      <c r="E19" s="855">
        <f>B19*100</f>
        <v>0</v>
      </c>
      <c r="F19" s="855">
        <f>B19*20</f>
        <v>0</v>
      </c>
      <c r="G19" s="855">
        <f>B19*10</f>
        <v>0</v>
      </c>
      <c r="H19" s="855">
        <f>B19*1</f>
        <v>0</v>
      </c>
      <c r="I19" s="855">
        <f>B19/5</f>
        <v>0</v>
      </c>
      <c r="J19" s="857">
        <f>B19/10</f>
        <v>0</v>
      </c>
      <c r="K19" s="857">
        <f>B19/50</f>
        <v>0</v>
      </c>
      <c r="L19" s="857">
        <f>B19/100</f>
        <v>0</v>
      </c>
      <c r="M19" s="858">
        <f>B19/500</f>
        <v>0</v>
      </c>
      <c r="N19" s="553"/>
    </row>
    <row r="20" ht="18.75" customHeight="1">
      <c r="A20" s="289"/>
      <c r="B20" s="865">
        <v>0.0</v>
      </c>
      <c r="C20" s="853" t="s">
        <v>50</v>
      </c>
      <c r="D20" s="855">
        <f>B20*5000</f>
        <v>0</v>
      </c>
      <c r="E20" s="855">
        <f>B20*500</f>
        <v>0</v>
      </c>
      <c r="F20" s="855">
        <f>B20*100</f>
        <v>0</v>
      </c>
      <c r="G20" s="855">
        <f>B20*50</f>
        <v>0</v>
      </c>
      <c r="H20" s="855">
        <f>B20*5</f>
        <v>0</v>
      </c>
      <c r="I20" s="859">
        <f>B20</f>
        <v>0</v>
      </c>
      <c r="J20" s="857">
        <f>B20/2</f>
        <v>0</v>
      </c>
      <c r="K20" s="857">
        <f>B20/10</f>
        <v>0</v>
      </c>
      <c r="L20" s="857">
        <f>B20/20</f>
        <v>0</v>
      </c>
      <c r="M20" s="858">
        <f>B20/100</f>
        <v>0</v>
      </c>
      <c r="N20" s="553"/>
    </row>
    <row r="21" ht="18.75" customHeight="1">
      <c r="A21" s="289"/>
      <c r="B21" s="865">
        <v>0.0</v>
      </c>
      <c r="C21" s="853" t="s">
        <v>51</v>
      </c>
      <c r="D21" s="855">
        <f>B21*10000</f>
        <v>0</v>
      </c>
      <c r="E21" s="855">
        <f>B21*1000</f>
        <v>0</v>
      </c>
      <c r="F21" s="855">
        <f>B21*200</f>
        <v>0</v>
      </c>
      <c r="G21" s="855">
        <f>B21*100</f>
        <v>0</v>
      </c>
      <c r="H21" s="855">
        <f>B21*10</f>
        <v>0</v>
      </c>
      <c r="I21" s="855">
        <f>B21/5*10</f>
        <v>0</v>
      </c>
      <c r="J21" s="866">
        <f>B21</f>
        <v>0</v>
      </c>
      <c r="K21" s="857">
        <f>B21/5</f>
        <v>0</v>
      </c>
      <c r="L21" s="857">
        <f>B21/10</f>
        <v>0</v>
      </c>
      <c r="M21" s="858">
        <f>B21/50</f>
        <v>0</v>
      </c>
      <c r="N21" s="553"/>
    </row>
    <row r="22" ht="18.75" customHeight="1">
      <c r="A22" s="289"/>
      <c r="B22" s="865">
        <v>0.0</v>
      </c>
      <c r="C22" s="853" t="s">
        <v>52</v>
      </c>
      <c r="D22" s="855">
        <f>B22*50000</f>
        <v>0</v>
      </c>
      <c r="E22" s="855">
        <f>B22*5000</f>
        <v>0</v>
      </c>
      <c r="F22" s="855">
        <f>B22*1000</f>
        <v>0</v>
      </c>
      <c r="G22" s="855">
        <f>B22*500</f>
        <v>0</v>
      </c>
      <c r="H22" s="855">
        <f>B22*50</f>
        <v>0</v>
      </c>
      <c r="I22" s="855">
        <f>B22*10</f>
        <v>0</v>
      </c>
      <c r="J22" s="857">
        <f>B22/2*10</f>
        <v>0</v>
      </c>
      <c r="K22" s="866">
        <f>B22</f>
        <v>0</v>
      </c>
      <c r="L22" s="857">
        <f>B22/2</f>
        <v>0</v>
      </c>
      <c r="M22" s="858">
        <f>B22/10</f>
        <v>0</v>
      </c>
      <c r="N22" s="553"/>
    </row>
    <row r="23" ht="18.75" customHeight="1">
      <c r="A23" s="289"/>
      <c r="B23" s="865">
        <v>0.0</v>
      </c>
      <c r="C23" s="853" t="s">
        <v>54</v>
      </c>
      <c r="D23" s="855">
        <f>B23*100000</f>
        <v>0</v>
      </c>
      <c r="E23" s="855">
        <f>B23*10000</f>
        <v>0</v>
      </c>
      <c r="F23" s="855">
        <f>B23*2000</f>
        <v>0</v>
      </c>
      <c r="G23" s="855">
        <f>B23*1000</f>
        <v>0</v>
      </c>
      <c r="H23" s="855">
        <f>B23*100</f>
        <v>0</v>
      </c>
      <c r="I23" s="855">
        <f>B23/5*100</f>
        <v>0</v>
      </c>
      <c r="J23" s="857">
        <f>B23*10</f>
        <v>0</v>
      </c>
      <c r="K23" s="857">
        <f>B23/5*10</f>
        <v>0</v>
      </c>
      <c r="L23" s="866">
        <f>B23</f>
        <v>0</v>
      </c>
      <c r="M23" s="858">
        <f>B23/5</f>
        <v>0</v>
      </c>
      <c r="N23" s="553"/>
    </row>
    <row r="24" ht="18.75" customHeight="1">
      <c r="A24" s="289"/>
      <c r="B24" s="867">
        <v>0.0</v>
      </c>
      <c r="C24" s="861" t="s">
        <v>56</v>
      </c>
      <c r="D24" s="862">
        <f>B24*500000</f>
        <v>0</v>
      </c>
      <c r="E24" s="862">
        <f>B24*50000</f>
        <v>0</v>
      </c>
      <c r="F24" s="862">
        <f>B24*10000</f>
        <v>0</v>
      </c>
      <c r="G24" s="862">
        <f>B24*5000</f>
        <v>0</v>
      </c>
      <c r="H24" s="862">
        <f>B24*500</f>
        <v>0</v>
      </c>
      <c r="I24" s="862">
        <f>B24*100</f>
        <v>0</v>
      </c>
      <c r="J24" s="863">
        <f>B24/2*100</f>
        <v>0</v>
      </c>
      <c r="K24" s="863">
        <f>B24*10</f>
        <v>0</v>
      </c>
      <c r="L24" s="863">
        <f>B24/2*10</f>
        <v>0</v>
      </c>
      <c r="M24" s="868">
        <f>B24</f>
        <v>0</v>
      </c>
      <c r="N24" s="553"/>
    </row>
    <row r="25" ht="7.5" customHeight="1">
      <c r="A25" s="289"/>
      <c r="B25" s="364"/>
      <c r="C25" s="13"/>
      <c r="D25" s="13"/>
      <c r="E25" s="13"/>
      <c r="F25" s="13"/>
      <c r="G25" s="13"/>
      <c r="H25" s="13"/>
      <c r="I25" s="13"/>
      <c r="J25" s="261"/>
      <c r="K25" s="261"/>
      <c r="L25" s="261"/>
      <c r="M25" s="261"/>
      <c r="N25" s="553"/>
    </row>
    <row r="26" ht="18.75" customHeight="1">
      <c r="A26" s="289"/>
      <c r="B26" s="869" t="s">
        <v>31</v>
      </c>
      <c r="C26" s="870" t="s">
        <v>58</v>
      </c>
      <c r="D26" s="870" t="s">
        <v>59</v>
      </c>
      <c r="E26" s="870" t="s">
        <v>60</v>
      </c>
      <c r="F26" s="870" t="s">
        <v>61</v>
      </c>
      <c r="G26" s="870" t="s">
        <v>69</v>
      </c>
      <c r="H26" s="871" t="s">
        <v>70</v>
      </c>
      <c r="I26" s="872" t="s">
        <v>71</v>
      </c>
      <c r="J26" s="195"/>
      <c r="K26" s="195"/>
      <c r="L26" s="195"/>
      <c r="M26" s="196"/>
      <c r="N26" s="597"/>
    </row>
    <row r="27" ht="18.75" customHeight="1">
      <c r="A27" s="598">
        <f>IFERROR(VLOOKUP(H27,PartyStorage,2, FALSE),0)</f>
        <v>0</v>
      </c>
      <c r="B27" s="712">
        <f>sum(Ch8_Money)</f>
        <v>0</v>
      </c>
      <c r="C27" s="485" t="s">
        <v>28</v>
      </c>
      <c r="D27" s="509">
        <v>0.02</v>
      </c>
      <c r="E27" s="873">
        <f t="shared" ref="E27:E208" si="1">IF(ISBLANK(C27),"",IF(ISBLANK(B27),D27,D27*B27))</f>
        <v>0</v>
      </c>
      <c r="F27" s="874"/>
      <c r="G27" s="510"/>
      <c r="H27" s="875"/>
      <c r="I27" s="876"/>
      <c r="M27" s="378"/>
      <c r="N27" s="553">
        <f>IFERROR(VLOOKUP(G27,Ch8_Storage,2, FALSE),0)</f>
        <v>0</v>
      </c>
    </row>
    <row r="28" ht="18.75" customHeight="1">
      <c r="A28" s="598">
        <f>IFERROR(VLOOKUP(H28,PartyStorage,2, FALSE),0)</f>
        <v>0</v>
      </c>
      <c r="B28" s="877">
        <f>sum(Ch8_Gems)</f>
        <v>0</v>
      </c>
      <c r="C28" s="878" t="s">
        <v>48</v>
      </c>
      <c r="D28" s="879">
        <v>0.02</v>
      </c>
      <c r="E28" s="880">
        <f t="shared" si="1"/>
        <v>0</v>
      </c>
      <c r="F28" s="881"/>
      <c r="G28" s="882"/>
      <c r="H28" s="883"/>
      <c r="I28" s="884"/>
      <c r="M28" s="885"/>
      <c r="N28" s="553">
        <f>IFERROR(VLOOKUP(G28,Ch8_Storage,2, FALSE),0)</f>
        <v>0</v>
      </c>
    </row>
    <row r="29" ht="18.75" customHeight="1">
      <c r="A29" s="598">
        <f>IFERROR(VLOOKUP(H29,PartyStorage,2, FALSE),0)</f>
        <v>0</v>
      </c>
      <c r="B29" s="886"/>
      <c r="C29" s="887"/>
      <c r="D29" s="873"/>
      <c r="E29" s="873" t="str">
        <f t="shared" si="1"/>
        <v/>
      </c>
      <c r="F29" s="874"/>
      <c r="G29" s="875"/>
      <c r="H29" s="875"/>
      <c r="I29" s="876"/>
      <c r="M29" s="378"/>
      <c r="N29" s="553">
        <f>IFERROR(VLOOKUP(G29,Ch8_Storage,2, FALSE),0)</f>
        <v>0</v>
      </c>
    </row>
    <row r="30" ht="18.75" customHeight="1">
      <c r="A30" s="598">
        <f>IFERROR(VLOOKUP(H30,PartyStorage,2, FALSE),0)</f>
        <v>0</v>
      </c>
      <c r="B30" s="888"/>
      <c r="C30" s="889"/>
      <c r="D30" s="880"/>
      <c r="E30" s="880" t="str">
        <f t="shared" si="1"/>
        <v/>
      </c>
      <c r="F30" s="881"/>
      <c r="G30" s="890"/>
      <c r="H30" s="890"/>
      <c r="I30" s="884"/>
      <c r="M30" s="885"/>
      <c r="N30" s="553">
        <f>IFERROR(VLOOKUP(G30,Ch8_Storage,2, FALSE),0)</f>
        <v>0</v>
      </c>
    </row>
    <row r="31" ht="18.75" customHeight="1">
      <c r="A31" s="598">
        <f>IFERROR(VLOOKUP(H31,PartyStorage,2, FALSE),0)</f>
        <v>0</v>
      </c>
      <c r="B31" s="886"/>
      <c r="C31" s="887"/>
      <c r="D31" s="873"/>
      <c r="E31" s="873" t="str">
        <f t="shared" si="1"/>
        <v/>
      </c>
      <c r="F31" s="874"/>
      <c r="G31" s="875"/>
      <c r="H31" s="875"/>
      <c r="I31" s="876"/>
      <c r="M31" s="378"/>
      <c r="N31" s="553">
        <f>IFERROR(VLOOKUP(G31,Ch8_Storage,2, FALSE),0)</f>
        <v>0</v>
      </c>
    </row>
    <row r="32" ht="18.75" customHeight="1">
      <c r="A32" s="598">
        <f>IFERROR(VLOOKUP(H32,PartyStorage,2, FALSE),0)</f>
        <v>0</v>
      </c>
      <c r="B32" s="888"/>
      <c r="C32" s="889"/>
      <c r="D32" s="880"/>
      <c r="E32" s="880" t="str">
        <f t="shared" si="1"/>
        <v/>
      </c>
      <c r="F32" s="881"/>
      <c r="G32" s="890"/>
      <c r="H32" s="883"/>
      <c r="I32" s="884"/>
      <c r="M32" s="885"/>
      <c r="N32" s="553">
        <f>IFERROR(VLOOKUP(G32,Ch8_Storage,2, FALSE),0)</f>
        <v>0</v>
      </c>
    </row>
    <row r="33" ht="18.75" customHeight="1">
      <c r="A33" s="598">
        <f>IFERROR(VLOOKUP(H33,PartyStorage,2, FALSE),0)</f>
        <v>0</v>
      </c>
      <c r="B33" s="886"/>
      <c r="C33" s="887"/>
      <c r="D33" s="873"/>
      <c r="E33" s="873" t="str">
        <f t="shared" si="1"/>
        <v/>
      </c>
      <c r="F33" s="874"/>
      <c r="G33" s="875"/>
      <c r="H33" s="891"/>
      <c r="I33" s="876"/>
      <c r="M33" s="378"/>
      <c r="N33" s="553">
        <f>IFERROR(VLOOKUP(G33,Ch8_Storage,2, FALSE),0)</f>
        <v>0</v>
      </c>
    </row>
    <row r="34" ht="18.75" customHeight="1">
      <c r="A34" s="598">
        <f>IFERROR(VLOOKUP(H34,PartyStorage,2, FALSE),0)</f>
        <v>0</v>
      </c>
      <c r="B34" s="888"/>
      <c r="C34" s="889"/>
      <c r="D34" s="880"/>
      <c r="E34" s="880" t="str">
        <f t="shared" si="1"/>
        <v/>
      </c>
      <c r="F34" s="881"/>
      <c r="G34" s="890"/>
      <c r="H34" s="890"/>
      <c r="I34" s="884"/>
      <c r="M34" s="885"/>
      <c r="N34" s="553">
        <f>IFERROR(VLOOKUP(G34,Ch8_Storage,2, FALSE),0)</f>
        <v>0</v>
      </c>
    </row>
    <row r="35" ht="18.75" customHeight="1">
      <c r="A35" s="598">
        <f>IFERROR(VLOOKUP(H35,PartyStorage,2, FALSE),0)</f>
        <v>0</v>
      </c>
      <c r="B35" s="886"/>
      <c r="C35" s="887"/>
      <c r="D35" s="873"/>
      <c r="E35" s="873" t="str">
        <f t="shared" si="1"/>
        <v/>
      </c>
      <c r="F35" s="874"/>
      <c r="G35" s="875"/>
      <c r="H35" s="891"/>
      <c r="I35" s="876"/>
      <c r="M35" s="378"/>
      <c r="N35" s="553">
        <f>IFERROR(VLOOKUP(G35,Ch8_Storage,2, FALSE),0)</f>
        <v>0</v>
      </c>
    </row>
    <row r="36" ht="18.75" customHeight="1">
      <c r="A36" s="598">
        <f>IFERROR(VLOOKUP(H36,PartyStorage,2, FALSE),0)</f>
        <v>0</v>
      </c>
      <c r="B36" s="888"/>
      <c r="C36" s="889"/>
      <c r="D36" s="880"/>
      <c r="E36" s="880" t="str">
        <f t="shared" si="1"/>
        <v/>
      </c>
      <c r="F36" s="881"/>
      <c r="G36" s="890"/>
      <c r="H36" s="883"/>
      <c r="I36" s="884"/>
      <c r="M36" s="885"/>
      <c r="N36" s="553">
        <f>IFERROR(VLOOKUP(G36,Ch8_Storage,2, FALSE),0)</f>
        <v>0</v>
      </c>
    </row>
    <row r="37" ht="18.75" customHeight="1">
      <c r="A37" s="598">
        <f>IFERROR(VLOOKUP(H37,PartyStorage,2, FALSE),0)</f>
        <v>0</v>
      </c>
      <c r="B37" s="886"/>
      <c r="C37" s="887"/>
      <c r="D37" s="873"/>
      <c r="E37" s="873" t="str">
        <f t="shared" si="1"/>
        <v/>
      </c>
      <c r="F37" s="874"/>
      <c r="G37" s="875"/>
      <c r="H37" s="891"/>
      <c r="I37" s="876"/>
      <c r="M37" s="378"/>
      <c r="N37" s="553">
        <f>IFERROR(VLOOKUP(G37,Ch8_Storage,2, FALSE),0)</f>
        <v>0</v>
      </c>
    </row>
    <row r="38" ht="18.75" customHeight="1">
      <c r="A38" s="598">
        <f>IFERROR(VLOOKUP(H38,PartyStorage,2, FALSE),0)</f>
        <v>0</v>
      </c>
      <c r="B38" s="888"/>
      <c r="C38" s="889"/>
      <c r="D38" s="880"/>
      <c r="E38" s="880" t="str">
        <f t="shared" si="1"/>
        <v/>
      </c>
      <c r="F38" s="881"/>
      <c r="G38" s="890"/>
      <c r="H38" s="890"/>
      <c r="I38" s="884"/>
      <c r="M38" s="885"/>
      <c r="N38" s="553">
        <f>IFERROR(VLOOKUP(G38,Ch8_Storage,2, FALSE),0)</f>
        <v>0</v>
      </c>
    </row>
    <row r="39" ht="18.75" customHeight="1">
      <c r="A39" s="598">
        <f>IFERROR(VLOOKUP(H39,PartyStorage,2, FALSE),0)</f>
        <v>0</v>
      </c>
      <c r="B39" s="886"/>
      <c r="C39" s="887"/>
      <c r="D39" s="873"/>
      <c r="E39" s="873" t="str">
        <f t="shared" si="1"/>
        <v/>
      </c>
      <c r="F39" s="874"/>
      <c r="G39" s="875"/>
      <c r="H39" s="891"/>
      <c r="I39" s="876"/>
      <c r="M39" s="378"/>
      <c r="N39" s="553">
        <f>IFERROR(VLOOKUP(G39,Ch8_Storage,2, FALSE),0)</f>
        <v>0</v>
      </c>
    </row>
    <row r="40" ht="18.75" customHeight="1">
      <c r="A40" s="598">
        <f>IFERROR(VLOOKUP(H40,PartyStorage,2, FALSE),0)</f>
        <v>0</v>
      </c>
      <c r="B40" s="888"/>
      <c r="C40" s="889"/>
      <c r="D40" s="880"/>
      <c r="E40" s="880" t="str">
        <f t="shared" si="1"/>
        <v/>
      </c>
      <c r="F40" s="881"/>
      <c r="G40" s="890"/>
      <c r="H40" s="883"/>
      <c r="I40" s="884"/>
      <c r="M40" s="885"/>
      <c r="N40" s="553">
        <f>IFERROR(VLOOKUP(G40,Ch8_Storage,2, FALSE),0)</f>
        <v>0</v>
      </c>
    </row>
    <row r="41" ht="18.75" customHeight="1">
      <c r="A41" s="598">
        <f>IFERROR(VLOOKUP(H41,PartyStorage,2, FALSE),0)</f>
        <v>0</v>
      </c>
      <c r="B41" s="886"/>
      <c r="C41" s="887"/>
      <c r="D41" s="873"/>
      <c r="E41" s="873" t="str">
        <f t="shared" si="1"/>
        <v/>
      </c>
      <c r="F41" s="874"/>
      <c r="G41" s="875"/>
      <c r="H41" s="875"/>
      <c r="I41" s="876"/>
      <c r="M41" s="378"/>
      <c r="N41" s="553">
        <f>IFERROR(VLOOKUP(G41,Ch8_Storage,2, FALSE),0)</f>
        <v>0</v>
      </c>
    </row>
    <row r="42" ht="18.75" customHeight="1">
      <c r="A42" s="598">
        <f>IFERROR(VLOOKUP(H42,PartyStorage,2, FALSE),0)</f>
        <v>0</v>
      </c>
      <c r="B42" s="888"/>
      <c r="C42" s="889"/>
      <c r="D42" s="880"/>
      <c r="E42" s="880" t="str">
        <f t="shared" si="1"/>
        <v/>
      </c>
      <c r="F42" s="881"/>
      <c r="G42" s="890"/>
      <c r="H42" s="890"/>
      <c r="I42" s="884"/>
      <c r="M42" s="885"/>
      <c r="N42" s="553">
        <f>IFERROR(VLOOKUP(G42,Ch8_Storage,2, FALSE),0)</f>
        <v>0</v>
      </c>
    </row>
    <row r="43" ht="18.75" customHeight="1">
      <c r="A43" s="598">
        <f>IFERROR(VLOOKUP(H43,PartyStorage,2, FALSE),0)</f>
        <v>0</v>
      </c>
      <c r="B43" s="886"/>
      <c r="C43" s="887"/>
      <c r="D43" s="873"/>
      <c r="E43" s="873" t="str">
        <f t="shared" si="1"/>
        <v/>
      </c>
      <c r="F43" s="874"/>
      <c r="G43" s="875"/>
      <c r="H43" s="875"/>
      <c r="I43" s="892"/>
      <c r="M43" s="378"/>
      <c r="N43" s="553">
        <f>IFERROR(VLOOKUP(G43,Ch8_Storage,2, FALSE),0)</f>
        <v>0</v>
      </c>
    </row>
    <row r="44" ht="18.75" customHeight="1">
      <c r="A44" s="598">
        <f>IFERROR(VLOOKUP(H44,PartyStorage,2, FALSE),0)</f>
        <v>0</v>
      </c>
      <c r="B44" s="888"/>
      <c r="C44" s="889"/>
      <c r="D44" s="880"/>
      <c r="E44" s="880" t="str">
        <f t="shared" si="1"/>
        <v/>
      </c>
      <c r="F44" s="881"/>
      <c r="G44" s="890"/>
      <c r="H44" s="890"/>
      <c r="I44" s="884"/>
      <c r="M44" s="885"/>
      <c r="N44" s="553">
        <f>IFERROR(VLOOKUP(G44,Ch8_Storage,2, FALSE),0)</f>
        <v>0</v>
      </c>
    </row>
    <row r="45" ht="18.75" customHeight="1">
      <c r="A45" s="598">
        <f>IFERROR(VLOOKUP(H45,PartyStorage,2, FALSE),0)</f>
        <v>0</v>
      </c>
      <c r="B45" s="886"/>
      <c r="C45" s="887"/>
      <c r="D45" s="873"/>
      <c r="E45" s="873" t="str">
        <f t="shared" si="1"/>
        <v/>
      </c>
      <c r="F45" s="874"/>
      <c r="G45" s="875"/>
      <c r="H45" s="891"/>
      <c r="I45" s="876"/>
      <c r="M45" s="378"/>
      <c r="N45" s="553">
        <f>IFERROR(VLOOKUP(G45,Ch8_Storage,2, FALSE),0)</f>
        <v>0</v>
      </c>
    </row>
    <row r="46" ht="18.75" customHeight="1">
      <c r="A46" s="598">
        <f>IFERROR(VLOOKUP(H46,PartyStorage,2, FALSE),0)</f>
        <v>0</v>
      </c>
      <c r="B46" s="888"/>
      <c r="C46" s="889"/>
      <c r="D46" s="880"/>
      <c r="E46" s="880" t="str">
        <f t="shared" si="1"/>
        <v/>
      </c>
      <c r="F46" s="881"/>
      <c r="G46" s="890"/>
      <c r="H46" s="890"/>
      <c r="I46" s="884"/>
      <c r="M46" s="885"/>
      <c r="N46" s="553">
        <f>IFERROR(VLOOKUP(G46,Ch8_Storage,2, FALSE),0)</f>
        <v>0</v>
      </c>
    </row>
    <row r="47" ht="18.75" customHeight="1">
      <c r="A47" s="598">
        <f>IFERROR(VLOOKUP(H47,PartyStorage,2, FALSE),0)</f>
        <v>0</v>
      </c>
      <c r="B47" s="886"/>
      <c r="C47" s="887"/>
      <c r="D47" s="893"/>
      <c r="E47" s="873" t="str">
        <f t="shared" si="1"/>
        <v/>
      </c>
      <c r="F47" s="874"/>
      <c r="G47" s="875"/>
      <c r="H47" s="875"/>
      <c r="I47" s="876"/>
      <c r="M47" s="378"/>
      <c r="N47" s="553">
        <f>IFERROR(VLOOKUP(G47,Ch8_Storage,2, FALSE),0)</f>
        <v>0</v>
      </c>
    </row>
    <row r="48" ht="18.75" customHeight="1">
      <c r="A48" s="598">
        <f>IFERROR(VLOOKUP(H48,PartyStorage,2, FALSE),0)</f>
        <v>0</v>
      </c>
      <c r="B48" s="888"/>
      <c r="C48" s="889"/>
      <c r="D48" s="894"/>
      <c r="E48" s="880" t="str">
        <f t="shared" si="1"/>
        <v/>
      </c>
      <c r="F48" s="881"/>
      <c r="G48" s="890"/>
      <c r="H48" s="883"/>
      <c r="I48" s="884"/>
      <c r="M48" s="885"/>
      <c r="N48" s="553">
        <f>IFERROR(VLOOKUP(G48,Ch8_Storage,2, FALSE),0)</f>
        <v>0</v>
      </c>
    </row>
    <row r="49" ht="18.75" customHeight="1">
      <c r="A49" s="598">
        <f>IFERROR(VLOOKUP(H49,PartyStorage,2, FALSE),0)</f>
        <v>0</v>
      </c>
      <c r="B49" s="886"/>
      <c r="C49" s="887"/>
      <c r="D49" s="893"/>
      <c r="E49" s="873" t="str">
        <f t="shared" si="1"/>
        <v/>
      </c>
      <c r="F49" s="874"/>
      <c r="G49" s="875"/>
      <c r="H49" s="891"/>
      <c r="I49" s="876"/>
      <c r="M49" s="378"/>
      <c r="N49" s="553">
        <f>IFERROR(VLOOKUP(G49,Ch8_Storage,2, FALSE),0)</f>
        <v>0</v>
      </c>
    </row>
    <row r="50" ht="18.75" customHeight="1">
      <c r="A50" s="598">
        <f>IFERROR(VLOOKUP(H50,PartyStorage,2, FALSE),0)</f>
        <v>0</v>
      </c>
      <c r="B50" s="888"/>
      <c r="C50" s="889"/>
      <c r="D50" s="894"/>
      <c r="E50" s="880" t="str">
        <f t="shared" si="1"/>
        <v/>
      </c>
      <c r="F50" s="881"/>
      <c r="G50" s="890"/>
      <c r="H50" s="883"/>
      <c r="I50" s="884"/>
      <c r="M50" s="885"/>
      <c r="N50" s="553">
        <f>IFERROR(VLOOKUP(G50,Ch8_Storage,2, FALSE),0)</f>
        <v>0</v>
      </c>
    </row>
    <row r="51" ht="18.75" customHeight="1">
      <c r="A51" s="598">
        <f>IFERROR(VLOOKUP(H51,PartyStorage,2, FALSE),0)</f>
        <v>0</v>
      </c>
      <c r="B51" s="886"/>
      <c r="C51" s="887"/>
      <c r="D51" s="893"/>
      <c r="E51" s="873" t="str">
        <f t="shared" si="1"/>
        <v/>
      </c>
      <c r="F51" s="874"/>
      <c r="G51" s="875"/>
      <c r="H51" s="891"/>
      <c r="I51" s="876"/>
      <c r="M51" s="378"/>
      <c r="N51" s="553">
        <f>IFERROR(VLOOKUP(G51,Ch8_Storage,2, FALSE),0)</f>
        <v>0</v>
      </c>
    </row>
    <row r="52" ht="18.75" customHeight="1">
      <c r="A52" s="598">
        <f>IFERROR(VLOOKUP(H52,PartyStorage,2, FALSE),0)</f>
        <v>0</v>
      </c>
      <c r="B52" s="888"/>
      <c r="C52" s="889"/>
      <c r="D52" s="880"/>
      <c r="E52" s="880" t="str">
        <f t="shared" si="1"/>
        <v/>
      </c>
      <c r="F52" s="881"/>
      <c r="G52" s="890"/>
      <c r="H52" s="883"/>
      <c r="I52" s="884"/>
      <c r="M52" s="885"/>
      <c r="N52" s="553">
        <f>IFERROR(VLOOKUP(G52,Ch8_Storage,2, FALSE),0)</f>
        <v>0</v>
      </c>
    </row>
    <row r="53" ht="18.75" customHeight="1">
      <c r="A53" s="598">
        <f>IFERROR(VLOOKUP(H53,PartyStorage,2, FALSE),0)</f>
        <v>0</v>
      </c>
      <c r="B53" s="886"/>
      <c r="C53" s="887"/>
      <c r="D53" s="893"/>
      <c r="E53" s="873" t="str">
        <f t="shared" si="1"/>
        <v/>
      </c>
      <c r="F53" s="874"/>
      <c r="G53" s="875"/>
      <c r="H53" s="891"/>
      <c r="I53" s="876"/>
      <c r="M53" s="378"/>
      <c r="N53" s="553">
        <f>IFERROR(VLOOKUP(G53,Ch8_Storage,2, FALSE),0)</f>
        <v>0</v>
      </c>
    </row>
    <row r="54" ht="18.75" customHeight="1">
      <c r="A54" s="598">
        <f>IFERROR(VLOOKUP(H54,PartyStorage,2, FALSE),0)</f>
        <v>0</v>
      </c>
      <c r="B54" s="888"/>
      <c r="C54" s="889"/>
      <c r="D54" s="894"/>
      <c r="E54" s="880" t="str">
        <f t="shared" si="1"/>
        <v/>
      </c>
      <c r="F54" s="881"/>
      <c r="G54" s="890"/>
      <c r="H54" s="883"/>
      <c r="I54" s="884"/>
      <c r="M54" s="885"/>
      <c r="N54" s="553">
        <f>IFERROR(VLOOKUP(G54,Ch8_Storage,2, FALSE),0)</f>
        <v>0</v>
      </c>
    </row>
    <row r="55" ht="18.75" customHeight="1">
      <c r="A55" s="598">
        <f>IFERROR(VLOOKUP(H55,PartyStorage,2, FALSE),0)</f>
        <v>0</v>
      </c>
      <c r="B55" s="886"/>
      <c r="C55" s="887"/>
      <c r="D55" s="893"/>
      <c r="E55" s="873" t="str">
        <f t="shared" si="1"/>
        <v/>
      </c>
      <c r="F55" s="874"/>
      <c r="G55" s="875"/>
      <c r="H55" s="891"/>
      <c r="I55" s="876"/>
      <c r="M55" s="378"/>
      <c r="N55" s="553">
        <f>IFERROR(VLOOKUP(G55,Ch8_Storage,2, FALSE),0)</f>
        <v>0</v>
      </c>
    </row>
    <row r="56" ht="18.75" customHeight="1">
      <c r="A56" s="598">
        <f>IFERROR(VLOOKUP(H56,PartyStorage,2, FALSE),0)</f>
        <v>0</v>
      </c>
      <c r="B56" s="888"/>
      <c r="C56" s="889"/>
      <c r="D56" s="894"/>
      <c r="E56" s="880" t="str">
        <f t="shared" si="1"/>
        <v/>
      </c>
      <c r="F56" s="881"/>
      <c r="G56" s="890"/>
      <c r="H56" s="883"/>
      <c r="I56" s="884"/>
      <c r="M56" s="885"/>
      <c r="N56" s="553">
        <f>IFERROR(VLOOKUP(G56,Ch8_Storage,2, FALSE),0)</f>
        <v>0</v>
      </c>
    </row>
    <row r="57" ht="18.75" customHeight="1">
      <c r="A57" s="598">
        <f>IFERROR(VLOOKUP(H57,PartyStorage,2, FALSE),0)</f>
        <v>0</v>
      </c>
      <c r="B57" s="886"/>
      <c r="C57" s="887"/>
      <c r="D57" s="893"/>
      <c r="E57" s="873" t="str">
        <f t="shared" si="1"/>
        <v/>
      </c>
      <c r="F57" s="874"/>
      <c r="G57" s="875"/>
      <c r="H57" s="891"/>
      <c r="I57" s="876"/>
      <c r="M57" s="378"/>
      <c r="N57" s="553">
        <f>IFERROR(VLOOKUP(G57,Ch8_Storage,2, FALSE),0)</f>
        <v>0</v>
      </c>
    </row>
    <row r="58" ht="18.75" customHeight="1">
      <c r="A58" s="598">
        <f>IFERROR(VLOOKUP(H58,PartyStorage,2, FALSE),0)</f>
        <v>0</v>
      </c>
      <c r="B58" s="888"/>
      <c r="C58" s="889"/>
      <c r="D58" s="880"/>
      <c r="E58" s="880" t="str">
        <f t="shared" si="1"/>
        <v/>
      </c>
      <c r="F58" s="881"/>
      <c r="G58" s="890"/>
      <c r="H58" s="883"/>
      <c r="I58" s="884"/>
      <c r="M58" s="885"/>
      <c r="N58" s="553">
        <f>IFERROR(VLOOKUP(G58,Ch8_Storage,2, FALSE),0)</f>
        <v>0</v>
      </c>
    </row>
    <row r="59" ht="18.75" customHeight="1">
      <c r="A59" s="598">
        <f>IFERROR(VLOOKUP(H59,PartyStorage,2, FALSE),0)</f>
        <v>0</v>
      </c>
      <c r="B59" s="886"/>
      <c r="C59" s="887"/>
      <c r="D59" s="873"/>
      <c r="E59" s="873" t="str">
        <f t="shared" si="1"/>
        <v/>
      </c>
      <c r="F59" s="874"/>
      <c r="G59" s="875"/>
      <c r="H59" s="891"/>
      <c r="I59" s="876"/>
      <c r="M59" s="378"/>
      <c r="N59" s="553">
        <f>IFERROR(VLOOKUP(G59,Ch8_Storage,2, FALSE),0)</f>
        <v>0</v>
      </c>
    </row>
    <row r="60" ht="18.75" customHeight="1">
      <c r="A60" s="598">
        <f>IFERROR(VLOOKUP(H60,PartyStorage,2, FALSE),0)</f>
        <v>0</v>
      </c>
      <c r="B60" s="888"/>
      <c r="C60" s="889"/>
      <c r="D60" s="880"/>
      <c r="E60" s="880" t="str">
        <f t="shared" si="1"/>
        <v/>
      </c>
      <c r="F60" s="881"/>
      <c r="G60" s="890"/>
      <c r="H60" s="883"/>
      <c r="I60" s="884"/>
      <c r="M60" s="885"/>
      <c r="N60" s="553">
        <f>IFERROR(VLOOKUP(G60,Ch8_Storage,2, FALSE),0)</f>
        <v>0</v>
      </c>
    </row>
    <row r="61" ht="18.75" customHeight="1">
      <c r="A61" s="598">
        <f>IFERROR(VLOOKUP(H61,PartyStorage,2, FALSE),0)</f>
        <v>0</v>
      </c>
      <c r="B61" s="895"/>
      <c r="C61" s="874"/>
      <c r="D61" s="893"/>
      <c r="E61" s="873" t="str">
        <f t="shared" si="1"/>
        <v/>
      </c>
      <c r="F61" s="874"/>
      <c r="G61" s="875"/>
      <c r="H61" s="891"/>
      <c r="I61" s="876"/>
      <c r="M61" s="378"/>
      <c r="N61" s="553">
        <f>IFERROR(VLOOKUP(G61,Ch8_Storage,2, FALSE),0)</f>
        <v>0</v>
      </c>
    </row>
    <row r="62" ht="18.75" customHeight="1">
      <c r="A62" s="598">
        <f>IFERROR(VLOOKUP(H62,PartyStorage,2, FALSE),0)</f>
        <v>0</v>
      </c>
      <c r="B62" s="896"/>
      <c r="C62" s="881"/>
      <c r="D62" s="894"/>
      <c r="E62" s="880" t="str">
        <f t="shared" si="1"/>
        <v/>
      </c>
      <c r="F62" s="881"/>
      <c r="G62" s="890"/>
      <c r="H62" s="883"/>
      <c r="I62" s="884"/>
      <c r="M62" s="885"/>
      <c r="N62" s="553">
        <f>IFERROR(VLOOKUP(G62,Ch8_Storage,2, FALSE),0)</f>
        <v>0</v>
      </c>
    </row>
    <row r="63" ht="18.75" customHeight="1">
      <c r="A63" s="598">
        <f>IFERROR(VLOOKUP(H63,PartyStorage,2, FALSE),0)</f>
        <v>0</v>
      </c>
      <c r="B63" s="895"/>
      <c r="C63" s="874"/>
      <c r="D63" s="893"/>
      <c r="E63" s="873" t="str">
        <f t="shared" si="1"/>
        <v/>
      </c>
      <c r="F63" s="874"/>
      <c r="G63" s="875"/>
      <c r="H63" s="891"/>
      <c r="I63" s="876"/>
      <c r="M63" s="378"/>
      <c r="N63" s="553">
        <f>IFERROR(VLOOKUP(G63,Ch8_Storage,2, FALSE),0)</f>
        <v>0</v>
      </c>
    </row>
    <row r="64" ht="18.75" customHeight="1">
      <c r="A64" s="598">
        <f>IFERROR(VLOOKUP(H64,PartyStorage,2, FALSE),0)</f>
        <v>0</v>
      </c>
      <c r="B64" s="896"/>
      <c r="C64" s="881"/>
      <c r="D64" s="894"/>
      <c r="E64" s="880" t="str">
        <f t="shared" si="1"/>
        <v/>
      </c>
      <c r="F64" s="881"/>
      <c r="G64" s="890"/>
      <c r="H64" s="883"/>
      <c r="I64" s="884"/>
      <c r="M64" s="885"/>
      <c r="N64" s="553">
        <f>IFERROR(VLOOKUP(G64,Ch8_Storage,2, FALSE),0)</f>
        <v>0</v>
      </c>
    </row>
    <row r="65" ht="18.75" customHeight="1">
      <c r="A65" s="598">
        <f>IFERROR(VLOOKUP(H65,PartyStorage,2, FALSE),0)</f>
        <v>0</v>
      </c>
      <c r="B65" s="895"/>
      <c r="C65" s="874"/>
      <c r="D65" s="893"/>
      <c r="E65" s="873" t="str">
        <f t="shared" si="1"/>
        <v/>
      </c>
      <c r="F65" s="874"/>
      <c r="G65" s="875"/>
      <c r="H65" s="891"/>
      <c r="I65" s="876"/>
      <c r="M65" s="378"/>
      <c r="N65" s="553">
        <f>IFERROR(VLOOKUP(G65,Ch8_Storage,2, FALSE),0)</f>
        <v>0</v>
      </c>
    </row>
    <row r="66" ht="18.75" customHeight="1">
      <c r="A66" s="598">
        <f>IFERROR(VLOOKUP(H66,PartyStorage,2, FALSE),0)</f>
        <v>0</v>
      </c>
      <c r="B66" s="896"/>
      <c r="C66" s="881"/>
      <c r="D66" s="894"/>
      <c r="E66" s="880" t="str">
        <f t="shared" si="1"/>
        <v/>
      </c>
      <c r="F66" s="881"/>
      <c r="G66" s="890"/>
      <c r="H66" s="883"/>
      <c r="I66" s="884"/>
      <c r="M66" s="885"/>
      <c r="N66" s="553">
        <f>IFERROR(VLOOKUP(G66,Ch8_Storage,2, FALSE),0)</f>
        <v>0</v>
      </c>
    </row>
    <row r="67" ht="18.75" customHeight="1">
      <c r="A67" s="598">
        <f>IFERROR(VLOOKUP(H67,PartyStorage,2, FALSE),0)</f>
        <v>0</v>
      </c>
      <c r="B67" s="895"/>
      <c r="C67" s="874"/>
      <c r="D67" s="893"/>
      <c r="E67" s="873" t="str">
        <f t="shared" si="1"/>
        <v/>
      </c>
      <c r="F67" s="874"/>
      <c r="G67" s="875"/>
      <c r="H67" s="891"/>
      <c r="I67" s="876"/>
      <c r="M67" s="378"/>
      <c r="N67" s="553">
        <f>IFERROR(VLOOKUP(G67,Ch8_Storage,2, FALSE),0)</f>
        <v>0</v>
      </c>
    </row>
    <row r="68" ht="18.75" customHeight="1">
      <c r="A68" s="598">
        <f>IFERROR(VLOOKUP(H68,PartyStorage,2, FALSE),0)</f>
        <v>0</v>
      </c>
      <c r="B68" s="896"/>
      <c r="C68" s="881"/>
      <c r="D68" s="894"/>
      <c r="E68" s="880" t="str">
        <f t="shared" si="1"/>
        <v/>
      </c>
      <c r="F68" s="881"/>
      <c r="G68" s="890"/>
      <c r="H68" s="883"/>
      <c r="I68" s="884"/>
      <c r="M68" s="885"/>
      <c r="N68" s="553">
        <f>IFERROR(VLOOKUP(G68,Ch8_Storage,2, FALSE),0)</f>
        <v>0</v>
      </c>
    </row>
    <row r="69" ht="18.75" customHeight="1">
      <c r="A69" s="598">
        <f>IFERROR(VLOOKUP(H69,PartyStorage,2, FALSE),0)</f>
        <v>0</v>
      </c>
      <c r="B69" s="895"/>
      <c r="C69" s="874"/>
      <c r="D69" s="893"/>
      <c r="E69" s="873" t="str">
        <f t="shared" si="1"/>
        <v/>
      </c>
      <c r="F69" s="874"/>
      <c r="G69" s="875"/>
      <c r="H69" s="891"/>
      <c r="I69" s="876"/>
      <c r="M69" s="378"/>
      <c r="N69" s="553">
        <f>IFERROR(VLOOKUP(G69,Ch8_Storage,2, FALSE),0)</f>
        <v>0</v>
      </c>
    </row>
    <row r="70" ht="18.75" customHeight="1">
      <c r="A70" s="598">
        <f>IFERROR(VLOOKUP(H70,PartyStorage,2, FALSE),0)</f>
        <v>0</v>
      </c>
      <c r="B70" s="896"/>
      <c r="C70" s="881"/>
      <c r="D70" s="894"/>
      <c r="E70" s="880" t="str">
        <f t="shared" si="1"/>
        <v/>
      </c>
      <c r="F70" s="881"/>
      <c r="G70" s="890"/>
      <c r="H70" s="883"/>
      <c r="I70" s="884"/>
      <c r="M70" s="885"/>
      <c r="N70" s="553">
        <f>IFERROR(VLOOKUP(G70,Ch8_Storage,2, FALSE),0)</f>
        <v>0</v>
      </c>
    </row>
    <row r="71" ht="18.75" customHeight="1">
      <c r="A71" s="598">
        <f>IFERROR(VLOOKUP(H71,PartyStorage,2, FALSE),0)</f>
        <v>0</v>
      </c>
      <c r="B71" s="895"/>
      <c r="C71" s="874"/>
      <c r="D71" s="893"/>
      <c r="E71" s="873" t="str">
        <f t="shared" si="1"/>
        <v/>
      </c>
      <c r="F71" s="874"/>
      <c r="G71" s="875"/>
      <c r="H71" s="891"/>
      <c r="I71" s="876"/>
      <c r="M71" s="378"/>
      <c r="N71" s="553">
        <f>IFERROR(VLOOKUP(G71,Ch8_Storage,2, FALSE),0)</f>
        <v>0</v>
      </c>
    </row>
    <row r="72" ht="18.75" customHeight="1">
      <c r="A72" s="598">
        <f>IFERROR(VLOOKUP(H72,PartyStorage,2, FALSE),0)</f>
        <v>0</v>
      </c>
      <c r="B72" s="896"/>
      <c r="C72" s="881"/>
      <c r="D72" s="894"/>
      <c r="E72" s="880" t="str">
        <f t="shared" si="1"/>
        <v/>
      </c>
      <c r="F72" s="881"/>
      <c r="G72" s="890"/>
      <c r="H72" s="883"/>
      <c r="I72" s="884"/>
      <c r="M72" s="885"/>
      <c r="N72" s="553">
        <f>IFERROR(VLOOKUP(G72,Ch8_Storage,2, FALSE),0)</f>
        <v>0</v>
      </c>
    </row>
    <row r="73" ht="18.75" customHeight="1">
      <c r="A73" s="598">
        <f>IFERROR(VLOOKUP(H73,PartyStorage,2, FALSE),0)</f>
        <v>0</v>
      </c>
      <c r="B73" s="895"/>
      <c r="C73" s="874"/>
      <c r="D73" s="893"/>
      <c r="E73" s="873" t="str">
        <f t="shared" si="1"/>
        <v/>
      </c>
      <c r="F73" s="874"/>
      <c r="G73" s="875"/>
      <c r="H73" s="891"/>
      <c r="I73" s="876"/>
      <c r="M73" s="378"/>
      <c r="N73" s="553">
        <f>IFERROR(VLOOKUP(G73,Ch8_Storage,2, FALSE),0)</f>
        <v>0</v>
      </c>
    </row>
    <row r="74" ht="18.75" customHeight="1">
      <c r="A74" s="598">
        <f>IFERROR(VLOOKUP(H74,PartyStorage,2, FALSE),0)</f>
        <v>0</v>
      </c>
      <c r="B74" s="896"/>
      <c r="C74" s="881"/>
      <c r="D74" s="894"/>
      <c r="E74" s="880" t="str">
        <f t="shared" si="1"/>
        <v/>
      </c>
      <c r="F74" s="881"/>
      <c r="G74" s="890"/>
      <c r="H74" s="883"/>
      <c r="I74" s="884"/>
      <c r="M74" s="885"/>
      <c r="N74" s="553">
        <f>IFERROR(VLOOKUP(G74,Ch8_Storage,2, FALSE),0)</f>
        <v>0</v>
      </c>
    </row>
    <row r="75" ht="18.75" customHeight="1">
      <c r="A75" s="598">
        <f>IFERROR(VLOOKUP(H75,PartyStorage,2, FALSE),0)</f>
        <v>0</v>
      </c>
      <c r="B75" s="895"/>
      <c r="C75" s="874"/>
      <c r="D75" s="893"/>
      <c r="E75" s="873" t="str">
        <f t="shared" si="1"/>
        <v/>
      </c>
      <c r="F75" s="874"/>
      <c r="G75" s="875"/>
      <c r="H75" s="891"/>
      <c r="I75" s="876"/>
      <c r="M75" s="378"/>
      <c r="N75" s="553">
        <f>IFERROR(VLOOKUP(G75,Ch8_Storage,2, FALSE),0)</f>
        <v>0</v>
      </c>
    </row>
    <row r="76" ht="18.75" customHeight="1">
      <c r="A76" s="598">
        <f>IFERROR(VLOOKUP(H76,PartyStorage,2, FALSE),0)</f>
        <v>0</v>
      </c>
      <c r="B76" s="896"/>
      <c r="C76" s="881"/>
      <c r="D76" s="894"/>
      <c r="E76" s="880" t="str">
        <f t="shared" si="1"/>
        <v/>
      </c>
      <c r="F76" s="881"/>
      <c r="G76" s="890"/>
      <c r="H76" s="883"/>
      <c r="I76" s="884"/>
      <c r="M76" s="885"/>
      <c r="N76" s="553">
        <f>IFERROR(VLOOKUP(G76,Ch8_Storage,2, FALSE),0)</f>
        <v>0</v>
      </c>
    </row>
    <row r="77" ht="18.75" customHeight="1">
      <c r="A77" s="598">
        <f>IFERROR(VLOOKUP(H77,PartyStorage,2, FALSE),0)</f>
        <v>0</v>
      </c>
      <c r="B77" s="895"/>
      <c r="C77" s="874"/>
      <c r="D77" s="893"/>
      <c r="E77" s="873" t="str">
        <f t="shared" si="1"/>
        <v/>
      </c>
      <c r="F77" s="874"/>
      <c r="G77" s="875"/>
      <c r="H77" s="891"/>
      <c r="I77" s="876"/>
      <c r="M77" s="378"/>
      <c r="N77" s="553">
        <f>IFERROR(VLOOKUP(G77,Ch8_Storage,2, FALSE),0)</f>
        <v>0</v>
      </c>
    </row>
    <row r="78" ht="18.75" customHeight="1">
      <c r="A78" s="598">
        <f>IFERROR(VLOOKUP(H78,PartyStorage,2, FALSE),0)</f>
        <v>0</v>
      </c>
      <c r="B78" s="896"/>
      <c r="C78" s="881"/>
      <c r="D78" s="894"/>
      <c r="E78" s="880" t="str">
        <f t="shared" si="1"/>
        <v/>
      </c>
      <c r="F78" s="881"/>
      <c r="G78" s="890"/>
      <c r="H78" s="883"/>
      <c r="I78" s="884"/>
      <c r="M78" s="885"/>
      <c r="N78" s="553">
        <f>IFERROR(VLOOKUP(G78,Ch8_Storage,2, FALSE),0)</f>
        <v>0</v>
      </c>
    </row>
    <row r="79" ht="18.75" customHeight="1">
      <c r="A79" s="598">
        <f>IFERROR(VLOOKUP(H79,PartyStorage,2, FALSE),0)</f>
        <v>0</v>
      </c>
      <c r="B79" s="895"/>
      <c r="C79" s="874"/>
      <c r="D79" s="893"/>
      <c r="E79" s="873" t="str">
        <f t="shared" si="1"/>
        <v/>
      </c>
      <c r="F79" s="874"/>
      <c r="G79" s="875"/>
      <c r="H79" s="891"/>
      <c r="I79" s="876"/>
      <c r="M79" s="378"/>
      <c r="N79" s="553">
        <f>IFERROR(VLOOKUP(G79,Ch8_Storage,2, FALSE),0)</f>
        <v>0</v>
      </c>
    </row>
    <row r="80" ht="18.75" customHeight="1">
      <c r="A80" s="598">
        <f>IFERROR(VLOOKUP(H80,PartyStorage,2, FALSE),0)</f>
        <v>0</v>
      </c>
      <c r="B80" s="896"/>
      <c r="C80" s="881"/>
      <c r="D80" s="894"/>
      <c r="E80" s="880" t="str">
        <f t="shared" si="1"/>
        <v/>
      </c>
      <c r="F80" s="881"/>
      <c r="G80" s="890"/>
      <c r="H80" s="883"/>
      <c r="I80" s="884"/>
      <c r="M80" s="885"/>
      <c r="N80" s="553">
        <f>IFERROR(VLOOKUP(G80,Ch8_Storage,2, FALSE),0)</f>
        <v>0</v>
      </c>
    </row>
    <row r="81" ht="18.75" customHeight="1">
      <c r="A81" s="598">
        <f>IFERROR(VLOOKUP(H81,PartyStorage,2, FALSE),0)</f>
        <v>0</v>
      </c>
      <c r="B81" s="895"/>
      <c r="C81" s="874"/>
      <c r="D81" s="893"/>
      <c r="E81" s="873" t="str">
        <f t="shared" si="1"/>
        <v/>
      </c>
      <c r="F81" s="874"/>
      <c r="G81" s="875"/>
      <c r="H81" s="891"/>
      <c r="I81" s="876"/>
      <c r="M81" s="378"/>
      <c r="N81" s="553">
        <f>IFERROR(VLOOKUP(G81,Ch8_Storage,2, FALSE),0)</f>
        <v>0</v>
      </c>
    </row>
    <row r="82" ht="18.75" customHeight="1">
      <c r="A82" s="598">
        <f>IFERROR(VLOOKUP(H82,PartyStorage,2, FALSE),0)</f>
        <v>0</v>
      </c>
      <c r="B82" s="896"/>
      <c r="C82" s="881"/>
      <c r="D82" s="894"/>
      <c r="E82" s="880" t="str">
        <f t="shared" si="1"/>
        <v/>
      </c>
      <c r="F82" s="881"/>
      <c r="G82" s="890"/>
      <c r="H82" s="883"/>
      <c r="I82" s="884"/>
      <c r="M82" s="885"/>
      <c r="N82" s="553">
        <f>IFERROR(VLOOKUP(G82,Ch8_Storage,2, FALSE),0)</f>
        <v>0</v>
      </c>
    </row>
    <row r="83" ht="18.75" customHeight="1">
      <c r="A83" s="598">
        <f>IFERROR(VLOOKUP(H83,PartyStorage,2, FALSE),0)</f>
        <v>0</v>
      </c>
      <c r="B83" s="895"/>
      <c r="C83" s="874"/>
      <c r="D83" s="893"/>
      <c r="E83" s="873" t="str">
        <f t="shared" si="1"/>
        <v/>
      </c>
      <c r="F83" s="874"/>
      <c r="G83" s="875"/>
      <c r="H83" s="891"/>
      <c r="I83" s="876"/>
      <c r="M83" s="378"/>
      <c r="N83" s="553">
        <f>IFERROR(VLOOKUP(G83,Ch8_Storage,2, FALSE),0)</f>
        <v>0</v>
      </c>
    </row>
    <row r="84" ht="18.75" customHeight="1">
      <c r="A84" s="598">
        <f>IFERROR(VLOOKUP(H84,PartyStorage,2, FALSE),0)</f>
        <v>0</v>
      </c>
      <c r="B84" s="896"/>
      <c r="C84" s="881"/>
      <c r="D84" s="894"/>
      <c r="E84" s="880" t="str">
        <f t="shared" si="1"/>
        <v/>
      </c>
      <c r="F84" s="881"/>
      <c r="G84" s="890"/>
      <c r="H84" s="883"/>
      <c r="I84" s="884"/>
      <c r="M84" s="885"/>
      <c r="N84" s="553">
        <f>IFERROR(VLOOKUP(G84,Ch8_Storage,2, FALSE),0)</f>
        <v>0</v>
      </c>
    </row>
    <row r="85" ht="18.75" customHeight="1">
      <c r="A85" s="598">
        <f>IFERROR(VLOOKUP(H85,PartyStorage,2, FALSE),0)</f>
        <v>0</v>
      </c>
      <c r="B85" s="895"/>
      <c r="C85" s="874"/>
      <c r="D85" s="893"/>
      <c r="E85" s="873" t="str">
        <f t="shared" si="1"/>
        <v/>
      </c>
      <c r="F85" s="874"/>
      <c r="G85" s="875"/>
      <c r="H85" s="891"/>
      <c r="I85" s="876"/>
      <c r="M85" s="378"/>
      <c r="N85" s="553">
        <f>IFERROR(VLOOKUP(G85,Ch8_Storage,2, FALSE),0)</f>
        <v>0</v>
      </c>
    </row>
    <row r="86" ht="18.75" customHeight="1">
      <c r="A86" s="598">
        <f>IFERROR(VLOOKUP(H86,PartyStorage,2, FALSE),0)</f>
        <v>0</v>
      </c>
      <c r="B86" s="896"/>
      <c r="C86" s="881"/>
      <c r="D86" s="894"/>
      <c r="E86" s="880" t="str">
        <f t="shared" si="1"/>
        <v/>
      </c>
      <c r="F86" s="881"/>
      <c r="G86" s="890"/>
      <c r="H86" s="883"/>
      <c r="I86" s="884"/>
      <c r="M86" s="885"/>
      <c r="N86" s="553">
        <f>IFERROR(VLOOKUP(G86,Ch8_Storage,2, FALSE),0)</f>
        <v>0</v>
      </c>
    </row>
    <row r="87" ht="18.75" customHeight="1">
      <c r="A87" s="598">
        <f>IFERROR(VLOOKUP(H87,PartyStorage,2, FALSE),0)</f>
        <v>0</v>
      </c>
      <c r="B87" s="895"/>
      <c r="C87" s="874"/>
      <c r="D87" s="893"/>
      <c r="E87" s="873" t="str">
        <f t="shared" si="1"/>
        <v/>
      </c>
      <c r="F87" s="874"/>
      <c r="G87" s="875"/>
      <c r="H87" s="891"/>
      <c r="I87" s="876"/>
      <c r="M87" s="378"/>
      <c r="N87" s="553">
        <f>IFERROR(VLOOKUP(G87,Ch8_Storage,2, FALSE),0)</f>
        <v>0</v>
      </c>
    </row>
    <row r="88" ht="18.75" customHeight="1">
      <c r="A88" s="598">
        <f>IFERROR(VLOOKUP(H88,PartyStorage,2, FALSE),0)</f>
        <v>0</v>
      </c>
      <c r="B88" s="896"/>
      <c r="C88" s="881"/>
      <c r="D88" s="894"/>
      <c r="E88" s="880" t="str">
        <f t="shared" si="1"/>
        <v/>
      </c>
      <c r="F88" s="881"/>
      <c r="G88" s="890"/>
      <c r="H88" s="883"/>
      <c r="I88" s="884"/>
      <c r="M88" s="885"/>
      <c r="N88" s="553">
        <f>IFERROR(VLOOKUP(G88,Ch8_Storage,2, FALSE),0)</f>
        <v>0</v>
      </c>
    </row>
    <row r="89" ht="18.75" customHeight="1">
      <c r="A89" s="598">
        <f>IFERROR(VLOOKUP(H89,PartyStorage,2, FALSE),0)</f>
        <v>0</v>
      </c>
      <c r="B89" s="895"/>
      <c r="C89" s="874"/>
      <c r="D89" s="893"/>
      <c r="E89" s="873" t="str">
        <f t="shared" si="1"/>
        <v/>
      </c>
      <c r="F89" s="874"/>
      <c r="G89" s="875"/>
      <c r="H89" s="891"/>
      <c r="I89" s="876"/>
      <c r="M89" s="378"/>
      <c r="N89" s="553">
        <f>IFERROR(VLOOKUP(G89,Ch8_Storage,2, FALSE),0)</f>
        <v>0</v>
      </c>
    </row>
    <row r="90" ht="18.75" customHeight="1">
      <c r="A90" s="598">
        <f>IFERROR(VLOOKUP(H90,PartyStorage,2, FALSE),0)</f>
        <v>0</v>
      </c>
      <c r="B90" s="896"/>
      <c r="C90" s="881"/>
      <c r="D90" s="894"/>
      <c r="E90" s="880" t="str">
        <f t="shared" si="1"/>
        <v/>
      </c>
      <c r="F90" s="881"/>
      <c r="G90" s="890"/>
      <c r="H90" s="883"/>
      <c r="I90" s="884"/>
      <c r="M90" s="885"/>
      <c r="N90" s="553">
        <f>IFERROR(VLOOKUP(G90,Ch8_Storage,2, FALSE),0)</f>
        <v>0</v>
      </c>
    </row>
    <row r="91" ht="18.75" customHeight="1">
      <c r="A91" s="598">
        <f>IFERROR(VLOOKUP(H91,PartyStorage,2, FALSE),0)</f>
        <v>0</v>
      </c>
      <c r="B91" s="895"/>
      <c r="C91" s="874"/>
      <c r="D91" s="893"/>
      <c r="E91" s="873" t="str">
        <f t="shared" si="1"/>
        <v/>
      </c>
      <c r="F91" s="874"/>
      <c r="G91" s="875"/>
      <c r="H91" s="891"/>
      <c r="I91" s="876"/>
      <c r="M91" s="378"/>
      <c r="N91" s="553">
        <f>IFERROR(VLOOKUP(G91,Ch8_Storage,2, FALSE),0)</f>
        <v>0</v>
      </c>
    </row>
    <row r="92" ht="18.75" customHeight="1">
      <c r="A92" s="598">
        <f>IFERROR(VLOOKUP(H92,PartyStorage,2, FALSE),0)</f>
        <v>0</v>
      </c>
      <c r="B92" s="896"/>
      <c r="C92" s="881"/>
      <c r="D92" s="894"/>
      <c r="E92" s="880" t="str">
        <f t="shared" si="1"/>
        <v/>
      </c>
      <c r="F92" s="881"/>
      <c r="G92" s="890"/>
      <c r="H92" s="883"/>
      <c r="I92" s="884"/>
      <c r="M92" s="885"/>
      <c r="N92" s="553">
        <f>IFERROR(VLOOKUP(G92,Ch8_Storage,2, FALSE),0)</f>
        <v>0</v>
      </c>
    </row>
    <row r="93" ht="18.75" customHeight="1">
      <c r="A93" s="598">
        <f>IFERROR(VLOOKUP(H93,PartyStorage,2, FALSE),0)</f>
        <v>0</v>
      </c>
      <c r="B93" s="895"/>
      <c r="C93" s="874"/>
      <c r="D93" s="893"/>
      <c r="E93" s="873" t="str">
        <f t="shared" si="1"/>
        <v/>
      </c>
      <c r="F93" s="874"/>
      <c r="G93" s="875"/>
      <c r="H93" s="891"/>
      <c r="I93" s="876"/>
      <c r="M93" s="378"/>
      <c r="N93" s="553">
        <f>IFERROR(VLOOKUP(G93,Ch8_Storage,2, FALSE),0)</f>
        <v>0</v>
      </c>
    </row>
    <row r="94" ht="18.75" customHeight="1">
      <c r="A94" s="598">
        <f>IFERROR(VLOOKUP(H94,PartyStorage,2, FALSE),0)</f>
        <v>0</v>
      </c>
      <c r="B94" s="896"/>
      <c r="C94" s="881"/>
      <c r="D94" s="894"/>
      <c r="E94" s="880" t="str">
        <f t="shared" si="1"/>
        <v/>
      </c>
      <c r="F94" s="881"/>
      <c r="G94" s="890"/>
      <c r="H94" s="883"/>
      <c r="I94" s="884"/>
      <c r="M94" s="885"/>
      <c r="N94" s="553">
        <f>IFERROR(VLOOKUP(G94,Ch8_Storage,2, FALSE),0)</f>
        <v>0</v>
      </c>
    </row>
    <row r="95" ht="18.75" customHeight="1">
      <c r="A95" s="598">
        <f>IFERROR(VLOOKUP(H95,PartyStorage,2, FALSE),0)</f>
        <v>0</v>
      </c>
      <c r="B95" s="895"/>
      <c r="C95" s="874"/>
      <c r="D95" s="893"/>
      <c r="E95" s="873" t="str">
        <f t="shared" si="1"/>
        <v/>
      </c>
      <c r="F95" s="874"/>
      <c r="G95" s="875"/>
      <c r="H95" s="891"/>
      <c r="I95" s="876"/>
      <c r="M95" s="378"/>
      <c r="N95" s="553">
        <f>IFERROR(VLOOKUP(G95,Ch8_Storage,2, FALSE),0)</f>
        <v>0</v>
      </c>
    </row>
    <row r="96" ht="18.75" customHeight="1">
      <c r="A96" s="598">
        <f>IFERROR(VLOOKUP(H96,PartyStorage,2, FALSE),0)</f>
        <v>0</v>
      </c>
      <c r="B96" s="896"/>
      <c r="C96" s="881"/>
      <c r="D96" s="894"/>
      <c r="E96" s="880" t="str">
        <f t="shared" si="1"/>
        <v/>
      </c>
      <c r="F96" s="881"/>
      <c r="G96" s="890"/>
      <c r="H96" s="883"/>
      <c r="I96" s="884"/>
      <c r="M96" s="885"/>
      <c r="N96" s="553">
        <f>IFERROR(VLOOKUP(G96,Ch8_Storage,2, FALSE),0)</f>
        <v>0</v>
      </c>
    </row>
    <row r="97" ht="18.75" customHeight="1">
      <c r="A97" s="598">
        <f>IFERROR(VLOOKUP(H97,PartyStorage,2, FALSE),0)</f>
        <v>0</v>
      </c>
      <c r="B97" s="895"/>
      <c r="C97" s="874"/>
      <c r="D97" s="893"/>
      <c r="E97" s="873" t="str">
        <f t="shared" si="1"/>
        <v/>
      </c>
      <c r="F97" s="874"/>
      <c r="G97" s="875"/>
      <c r="H97" s="891"/>
      <c r="I97" s="876"/>
      <c r="M97" s="378"/>
      <c r="N97" s="553">
        <f>IFERROR(VLOOKUP(G97,Ch8_Storage,2, FALSE),0)</f>
        <v>0</v>
      </c>
    </row>
    <row r="98" ht="18.75" customHeight="1">
      <c r="A98" s="598">
        <f>IFERROR(VLOOKUP(H98,PartyStorage,2, FALSE),0)</f>
        <v>0</v>
      </c>
      <c r="B98" s="896"/>
      <c r="C98" s="881"/>
      <c r="D98" s="894"/>
      <c r="E98" s="880" t="str">
        <f t="shared" si="1"/>
        <v/>
      </c>
      <c r="F98" s="881"/>
      <c r="G98" s="890"/>
      <c r="H98" s="883"/>
      <c r="I98" s="884"/>
      <c r="M98" s="885"/>
      <c r="N98" s="553">
        <f>IFERROR(VLOOKUP(G98,Ch8_Storage,2, FALSE),0)</f>
        <v>0</v>
      </c>
    </row>
    <row r="99" ht="18.75" customHeight="1">
      <c r="A99" s="598">
        <f>IFERROR(VLOOKUP(H99,PartyStorage,2, FALSE),0)</f>
        <v>0</v>
      </c>
      <c r="B99" s="895"/>
      <c r="C99" s="874"/>
      <c r="D99" s="893"/>
      <c r="E99" s="873" t="str">
        <f t="shared" si="1"/>
        <v/>
      </c>
      <c r="F99" s="874"/>
      <c r="G99" s="875"/>
      <c r="H99" s="891"/>
      <c r="I99" s="876"/>
      <c r="M99" s="378"/>
      <c r="N99" s="553">
        <f>IFERROR(VLOOKUP(G99,Ch8_Storage,2, FALSE),0)</f>
        <v>0</v>
      </c>
    </row>
    <row r="100" ht="18.75" customHeight="1">
      <c r="A100" s="598">
        <f>IFERROR(VLOOKUP(H100,PartyStorage,2, FALSE),0)</f>
        <v>0</v>
      </c>
      <c r="B100" s="896"/>
      <c r="C100" s="881"/>
      <c r="D100" s="894"/>
      <c r="E100" s="880" t="str">
        <f t="shared" si="1"/>
        <v/>
      </c>
      <c r="F100" s="881"/>
      <c r="G100" s="890"/>
      <c r="H100" s="883"/>
      <c r="I100" s="884"/>
      <c r="M100" s="885"/>
      <c r="N100" s="553">
        <f>IFERROR(VLOOKUP(G100,Ch8_Storage,2, FALSE),0)</f>
        <v>0</v>
      </c>
    </row>
    <row r="101" ht="18.75" customHeight="1">
      <c r="A101" s="598">
        <f>IFERROR(VLOOKUP(H101,PartyStorage,2, FALSE),0)</f>
        <v>0</v>
      </c>
      <c r="B101" s="895"/>
      <c r="C101" s="874"/>
      <c r="D101" s="893"/>
      <c r="E101" s="873" t="str">
        <f t="shared" si="1"/>
        <v/>
      </c>
      <c r="F101" s="874"/>
      <c r="G101" s="875"/>
      <c r="H101" s="891"/>
      <c r="I101" s="876"/>
      <c r="M101" s="378"/>
      <c r="N101" s="553">
        <f>IFERROR(VLOOKUP(G101,Ch8_Storage,2, FALSE),0)</f>
        <v>0</v>
      </c>
    </row>
    <row r="102" ht="18.75" customHeight="1">
      <c r="A102" s="598">
        <f>IFERROR(VLOOKUP(H102,PartyStorage,2, FALSE),0)</f>
        <v>0</v>
      </c>
      <c r="B102" s="896"/>
      <c r="C102" s="881"/>
      <c r="D102" s="894"/>
      <c r="E102" s="880" t="str">
        <f t="shared" si="1"/>
        <v/>
      </c>
      <c r="F102" s="881"/>
      <c r="G102" s="890"/>
      <c r="H102" s="883"/>
      <c r="I102" s="884"/>
      <c r="M102" s="885"/>
      <c r="N102" s="553">
        <f>IFERROR(VLOOKUP(G102,Ch8_Storage,2, FALSE),0)</f>
        <v>0</v>
      </c>
    </row>
    <row r="103" ht="18.75" customHeight="1">
      <c r="A103" s="598">
        <f>IFERROR(VLOOKUP(H103,PartyStorage,2, FALSE),0)</f>
        <v>0</v>
      </c>
      <c r="B103" s="895"/>
      <c r="C103" s="874"/>
      <c r="D103" s="893"/>
      <c r="E103" s="873" t="str">
        <f t="shared" si="1"/>
        <v/>
      </c>
      <c r="F103" s="874"/>
      <c r="G103" s="875"/>
      <c r="H103" s="891"/>
      <c r="I103" s="876"/>
      <c r="M103" s="378"/>
      <c r="N103" s="553">
        <f>IFERROR(VLOOKUP(G103,Ch8_Storage,2, FALSE),0)</f>
        <v>0</v>
      </c>
    </row>
    <row r="104" ht="18.75" customHeight="1">
      <c r="A104" s="598">
        <f>IFERROR(VLOOKUP(H104,PartyStorage,2, FALSE),0)</f>
        <v>0</v>
      </c>
      <c r="B104" s="896"/>
      <c r="C104" s="881"/>
      <c r="D104" s="894"/>
      <c r="E104" s="880" t="str">
        <f t="shared" si="1"/>
        <v/>
      </c>
      <c r="F104" s="881"/>
      <c r="G104" s="890"/>
      <c r="H104" s="883"/>
      <c r="I104" s="884"/>
      <c r="M104" s="885"/>
      <c r="N104" s="553">
        <f>IFERROR(VLOOKUP(G104,Ch8_Storage,2, FALSE),0)</f>
        <v>0</v>
      </c>
    </row>
    <row r="105" ht="18.75" customHeight="1">
      <c r="A105" s="598">
        <f>IFERROR(VLOOKUP(H105,PartyStorage,2, FALSE),0)</f>
        <v>0</v>
      </c>
      <c r="B105" s="895"/>
      <c r="C105" s="874"/>
      <c r="D105" s="893"/>
      <c r="E105" s="873" t="str">
        <f t="shared" si="1"/>
        <v/>
      </c>
      <c r="F105" s="874"/>
      <c r="G105" s="875"/>
      <c r="H105" s="891"/>
      <c r="I105" s="876"/>
      <c r="M105" s="378"/>
      <c r="N105" s="553">
        <f>IFERROR(VLOOKUP(G105,Ch8_Storage,2, FALSE),0)</f>
        <v>0</v>
      </c>
    </row>
    <row r="106" ht="18.75" customHeight="1">
      <c r="A106" s="598">
        <f>IFERROR(VLOOKUP(H106,PartyStorage,2, FALSE),0)</f>
        <v>0</v>
      </c>
      <c r="B106" s="896"/>
      <c r="C106" s="881"/>
      <c r="D106" s="894"/>
      <c r="E106" s="880" t="str">
        <f t="shared" si="1"/>
        <v/>
      </c>
      <c r="F106" s="881"/>
      <c r="G106" s="890"/>
      <c r="H106" s="883"/>
      <c r="I106" s="884"/>
      <c r="M106" s="885"/>
      <c r="N106" s="553">
        <f>IFERROR(VLOOKUP(G106,Ch8_Storage,2, FALSE),0)</f>
        <v>0</v>
      </c>
    </row>
    <row r="107" ht="18.75" customHeight="1">
      <c r="A107" s="598">
        <f>IFERROR(VLOOKUP(H107,PartyStorage,2, FALSE),0)</f>
        <v>0</v>
      </c>
      <c r="B107" s="895"/>
      <c r="C107" s="874"/>
      <c r="D107" s="893"/>
      <c r="E107" s="873" t="str">
        <f t="shared" si="1"/>
        <v/>
      </c>
      <c r="F107" s="874"/>
      <c r="G107" s="875"/>
      <c r="H107" s="891"/>
      <c r="I107" s="876"/>
      <c r="M107" s="378"/>
      <c r="N107" s="553">
        <f>IFERROR(VLOOKUP(G107,Ch8_Storage,2, FALSE),0)</f>
        <v>0</v>
      </c>
    </row>
    <row r="108" ht="18.75" customHeight="1">
      <c r="A108" s="598">
        <f>IFERROR(VLOOKUP(H108,PartyStorage,2, FALSE),0)</f>
        <v>0</v>
      </c>
      <c r="B108" s="896"/>
      <c r="C108" s="881"/>
      <c r="D108" s="894"/>
      <c r="E108" s="880" t="str">
        <f t="shared" si="1"/>
        <v/>
      </c>
      <c r="F108" s="881"/>
      <c r="G108" s="890"/>
      <c r="H108" s="883"/>
      <c r="I108" s="884"/>
      <c r="M108" s="885"/>
      <c r="N108" s="553">
        <f>IFERROR(VLOOKUP(G108,Ch8_Storage,2, FALSE),0)</f>
        <v>0</v>
      </c>
    </row>
    <row r="109" ht="18.75" customHeight="1">
      <c r="A109" s="598">
        <f>IFERROR(VLOOKUP(H109,PartyStorage,2, FALSE),0)</f>
        <v>0</v>
      </c>
      <c r="B109" s="895"/>
      <c r="C109" s="874"/>
      <c r="D109" s="893"/>
      <c r="E109" s="873" t="str">
        <f t="shared" si="1"/>
        <v/>
      </c>
      <c r="F109" s="874"/>
      <c r="G109" s="875"/>
      <c r="H109" s="891"/>
      <c r="I109" s="876"/>
      <c r="M109" s="378"/>
      <c r="N109" s="553">
        <f>IFERROR(VLOOKUP(G109,Ch8_Storage,2, FALSE),0)</f>
        <v>0</v>
      </c>
    </row>
    <row r="110" ht="18.75" customHeight="1">
      <c r="A110" s="598">
        <f>IFERROR(VLOOKUP(H110,PartyStorage,2, FALSE),0)</f>
        <v>0</v>
      </c>
      <c r="B110" s="896"/>
      <c r="C110" s="881"/>
      <c r="D110" s="894"/>
      <c r="E110" s="880" t="str">
        <f t="shared" si="1"/>
        <v/>
      </c>
      <c r="F110" s="881"/>
      <c r="G110" s="890"/>
      <c r="H110" s="883"/>
      <c r="I110" s="884"/>
      <c r="M110" s="885"/>
      <c r="N110" s="553">
        <f>IFERROR(VLOOKUP(G110,Ch8_Storage,2, FALSE),0)</f>
        <v>0</v>
      </c>
    </row>
    <row r="111" ht="18.75" customHeight="1">
      <c r="A111" s="598">
        <f>IFERROR(VLOOKUP(H111,PartyStorage,2, FALSE),0)</f>
        <v>0</v>
      </c>
      <c r="B111" s="895"/>
      <c r="C111" s="874"/>
      <c r="D111" s="893"/>
      <c r="E111" s="873" t="str">
        <f t="shared" si="1"/>
        <v/>
      </c>
      <c r="F111" s="874"/>
      <c r="G111" s="875"/>
      <c r="H111" s="891"/>
      <c r="I111" s="876"/>
      <c r="M111" s="378"/>
      <c r="N111" s="553">
        <f>IFERROR(VLOOKUP(G111,Ch8_Storage,2, FALSE),0)</f>
        <v>0</v>
      </c>
    </row>
    <row r="112" ht="18.75" customHeight="1">
      <c r="A112" s="598">
        <f>IFERROR(VLOOKUP(H112,PartyStorage,2, FALSE),0)</f>
        <v>0</v>
      </c>
      <c r="B112" s="896"/>
      <c r="C112" s="881"/>
      <c r="D112" s="894"/>
      <c r="E112" s="880" t="str">
        <f t="shared" si="1"/>
        <v/>
      </c>
      <c r="F112" s="881"/>
      <c r="G112" s="890"/>
      <c r="H112" s="883"/>
      <c r="I112" s="884"/>
      <c r="M112" s="885"/>
      <c r="N112" s="553">
        <f>IFERROR(VLOOKUP(G112,Ch8_Storage,2, FALSE),0)</f>
        <v>0</v>
      </c>
    </row>
    <row r="113" ht="18.75" customHeight="1">
      <c r="A113" s="598">
        <f>IFERROR(VLOOKUP(H113,PartyStorage,2, FALSE),0)</f>
        <v>0</v>
      </c>
      <c r="B113" s="895"/>
      <c r="C113" s="874"/>
      <c r="D113" s="893"/>
      <c r="E113" s="873" t="str">
        <f t="shared" si="1"/>
        <v/>
      </c>
      <c r="F113" s="874"/>
      <c r="G113" s="875"/>
      <c r="H113" s="891"/>
      <c r="I113" s="876"/>
      <c r="M113" s="378"/>
      <c r="N113" s="553">
        <f>IFERROR(VLOOKUP(G113,Ch8_Storage,2, FALSE),0)</f>
        <v>0</v>
      </c>
    </row>
    <row r="114" ht="18.75" customHeight="1">
      <c r="A114" s="598">
        <f>IFERROR(VLOOKUP(H114,PartyStorage,2, FALSE),0)</f>
        <v>0</v>
      </c>
      <c r="B114" s="896"/>
      <c r="C114" s="881"/>
      <c r="D114" s="894"/>
      <c r="E114" s="880" t="str">
        <f t="shared" si="1"/>
        <v/>
      </c>
      <c r="F114" s="881"/>
      <c r="G114" s="890"/>
      <c r="H114" s="883"/>
      <c r="I114" s="884"/>
      <c r="M114" s="885"/>
      <c r="N114" s="553">
        <f>IFERROR(VLOOKUP(G114,Ch8_Storage,2, FALSE),0)</f>
        <v>0</v>
      </c>
    </row>
    <row r="115" ht="18.75" customHeight="1">
      <c r="A115" s="598">
        <f>IFERROR(VLOOKUP(H115,PartyStorage,2, FALSE),0)</f>
        <v>0</v>
      </c>
      <c r="B115" s="895"/>
      <c r="C115" s="874"/>
      <c r="D115" s="893"/>
      <c r="E115" s="873" t="str">
        <f t="shared" si="1"/>
        <v/>
      </c>
      <c r="F115" s="874"/>
      <c r="G115" s="875"/>
      <c r="H115" s="891"/>
      <c r="I115" s="876"/>
      <c r="M115" s="378"/>
      <c r="N115" s="553">
        <f>IFERROR(VLOOKUP(G115,Ch8_Storage,2, FALSE),0)</f>
        <v>0</v>
      </c>
    </row>
    <row r="116" ht="18.75" customHeight="1">
      <c r="A116" s="598">
        <f>IFERROR(VLOOKUP(H116,PartyStorage,2, FALSE),0)</f>
        <v>0</v>
      </c>
      <c r="B116" s="896"/>
      <c r="C116" s="881"/>
      <c r="D116" s="894"/>
      <c r="E116" s="880" t="str">
        <f t="shared" si="1"/>
        <v/>
      </c>
      <c r="F116" s="881"/>
      <c r="G116" s="890"/>
      <c r="H116" s="883"/>
      <c r="I116" s="884"/>
      <c r="M116" s="885"/>
      <c r="N116" s="553">
        <f>IFERROR(VLOOKUP(G116,Ch8_Storage,2, FALSE),0)</f>
        <v>0</v>
      </c>
    </row>
    <row r="117" ht="18.75" customHeight="1">
      <c r="A117" s="598">
        <f>IFERROR(VLOOKUP(H117,PartyStorage,2, FALSE),0)</f>
        <v>0</v>
      </c>
      <c r="B117" s="895"/>
      <c r="C117" s="874"/>
      <c r="D117" s="893"/>
      <c r="E117" s="873" t="str">
        <f t="shared" si="1"/>
        <v/>
      </c>
      <c r="F117" s="874"/>
      <c r="G117" s="875"/>
      <c r="H117" s="891"/>
      <c r="I117" s="876"/>
      <c r="M117" s="378"/>
      <c r="N117" s="553">
        <f>IFERROR(VLOOKUP(G117,Ch8_Storage,2, FALSE),0)</f>
        <v>0</v>
      </c>
    </row>
    <row r="118" ht="18.75" customHeight="1">
      <c r="A118" s="598">
        <f>IFERROR(VLOOKUP(H118,PartyStorage,2, FALSE),0)</f>
        <v>0</v>
      </c>
      <c r="B118" s="896"/>
      <c r="C118" s="881"/>
      <c r="D118" s="894"/>
      <c r="E118" s="880" t="str">
        <f t="shared" si="1"/>
        <v/>
      </c>
      <c r="F118" s="881"/>
      <c r="G118" s="890"/>
      <c r="H118" s="883"/>
      <c r="I118" s="884"/>
      <c r="M118" s="885"/>
      <c r="N118" s="553">
        <f>IFERROR(VLOOKUP(G118,Ch8_Storage,2, FALSE),0)</f>
        <v>0</v>
      </c>
    </row>
    <row r="119" ht="18.75" customHeight="1">
      <c r="A119" s="598">
        <f>IFERROR(VLOOKUP(H119,PartyStorage,2, FALSE),0)</f>
        <v>0</v>
      </c>
      <c r="B119" s="895"/>
      <c r="C119" s="874"/>
      <c r="D119" s="893"/>
      <c r="E119" s="873" t="str">
        <f t="shared" si="1"/>
        <v/>
      </c>
      <c r="F119" s="874"/>
      <c r="G119" s="875"/>
      <c r="H119" s="891"/>
      <c r="I119" s="876"/>
      <c r="M119" s="378"/>
      <c r="N119" s="553">
        <f>IFERROR(VLOOKUP(G119,Ch8_Storage,2, FALSE),0)</f>
        <v>0</v>
      </c>
    </row>
    <row r="120" ht="18.75" customHeight="1">
      <c r="A120" s="598">
        <f>IFERROR(VLOOKUP(H120,PartyStorage,2, FALSE),0)</f>
        <v>0</v>
      </c>
      <c r="B120" s="896"/>
      <c r="C120" s="881"/>
      <c r="D120" s="894"/>
      <c r="E120" s="880" t="str">
        <f t="shared" si="1"/>
        <v/>
      </c>
      <c r="F120" s="881"/>
      <c r="G120" s="890"/>
      <c r="H120" s="883"/>
      <c r="I120" s="884"/>
      <c r="M120" s="885"/>
      <c r="N120" s="553">
        <f>IFERROR(VLOOKUP(G120,Ch8_Storage,2, FALSE),0)</f>
        <v>0</v>
      </c>
    </row>
    <row r="121" ht="18.75" customHeight="1">
      <c r="A121" s="598">
        <f>IFERROR(VLOOKUP(H121,PartyStorage,2, FALSE),0)</f>
        <v>0</v>
      </c>
      <c r="B121" s="895"/>
      <c r="C121" s="874"/>
      <c r="D121" s="893"/>
      <c r="E121" s="873" t="str">
        <f t="shared" si="1"/>
        <v/>
      </c>
      <c r="F121" s="874"/>
      <c r="G121" s="875"/>
      <c r="H121" s="891"/>
      <c r="I121" s="876"/>
      <c r="M121" s="378"/>
      <c r="N121" s="553">
        <f>IFERROR(VLOOKUP(G121,Ch8_Storage,2, FALSE),0)</f>
        <v>0</v>
      </c>
    </row>
    <row r="122" ht="18.75" customHeight="1">
      <c r="A122" s="598">
        <f>IFERROR(VLOOKUP(H122,PartyStorage,2, FALSE),0)</f>
        <v>0</v>
      </c>
      <c r="B122" s="896"/>
      <c r="C122" s="881"/>
      <c r="D122" s="894"/>
      <c r="E122" s="880" t="str">
        <f t="shared" si="1"/>
        <v/>
      </c>
      <c r="F122" s="881"/>
      <c r="G122" s="890"/>
      <c r="H122" s="883"/>
      <c r="I122" s="884"/>
      <c r="M122" s="885"/>
      <c r="N122" s="553">
        <f>IFERROR(VLOOKUP(G122,Ch8_Storage,2, FALSE),0)</f>
        <v>0</v>
      </c>
    </row>
    <row r="123" ht="18.75" customHeight="1">
      <c r="A123" s="598">
        <f>IFERROR(VLOOKUP(H123,PartyStorage,2, FALSE),0)</f>
        <v>0</v>
      </c>
      <c r="B123" s="895"/>
      <c r="C123" s="874"/>
      <c r="D123" s="893"/>
      <c r="E123" s="873" t="str">
        <f t="shared" si="1"/>
        <v/>
      </c>
      <c r="F123" s="874"/>
      <c r="G123" s="875"/>
      <c r="H123" s="891"/>
      <c r="I123" s="876"/>
      <c r="M123" s="378"/>
      <c r="N123" s="553">
        <f>IFERROR(VLOOKUP(G123,Ch8_Storage,2, FALSE),0)</f>
        <v>0</v>
      </c>
    </row>
    <row r="124" ht="18.75" customHeight="1">
      <c r="A124" s="598">
        <f>IFERROR(VLOOKUP(H124,PartyStorage,2, FALSE),0)</f>
        <v>0</v>
      </c>
      <c r="B124" s="896"/>
      <c r="C124" s="881"/>
      <c r="D124" s="894"/>
      <c r="E124" s="880" t="str">
        <f t="shared" si="1"/>
        <v/>
      </c>
      <c r="F124" s="881"/>
      <c r="G124" s="890"/>
      <c r="H124" s="883"/>
      <c r="I124" s="884"/>
      <c r="M124" s="885"/>
      <c r="N124" s="553">
        <f>IFERROR(VLOOKUP(G124,Ch8_Storage,2, FALSE),0)</f>
        <v>0</v>
      </c>
    </row>
    <row r="125" ht="18.75" customHeight="1">
      <c r="A125" s="598">
        <f>IFERROR(VLOOKUP(H125,PartyStorage,2, FALSE),0)</f>
        <v>0</v>
      </c>
      <c r="B125" s="895"/>
      <c r="C125" s="874"/>
      <c r="D125" s="893"/>
      <c r="E125" s="873" t="str">
        <f t="shared" si="1"/>
        <v/>
      </c>
      <c r="F125" s="874"/>
      <c r="G125" s="875"/>
      <c r="H125" s="891"/>
      <c r="I125" s="876"/>
      <c r="M125" s="378"/>
      <c r="N125" s="553">
        <f>IFERROR(VLOOKUP(G125,Ch8_Storage,2, FALSE),0)</f>
        <v>0</v>
      </c>
    </row>
    <row r="126" ht="18.75" customHeight="1">
      <c r="A126" s="598">
        <f>IFERROR(VLOOKUP(H126,PartyStorage,2, FALSE),0)</f>
        <v>0</v>
      </c>
      <c r="B126" s="896"/>
      <c r="C126" s="881"/>
      <c r="D126" s="894"/>
      <c r="E126" s="880" t="str">
        <f t="shared" si="1"/>
        <v/>
      </c>
      <c r="F126" s="881"/>
      <c r="G126" s="890"/>
      <c r="H126" s="883"/>
      <c r="I126" s="884"/>
      <c r="M126" s="885"/>
      <c r="N126" s="553">
        <f>IFERROR(VLOOKUP(G126,Ch8_Storage,2, FALSE),0)</f>
        <v>0</v>
      </c>
    </row>
    <row r="127" ht="18.75" customHeight="1">
      <c r="A127" s="598">
        <f>IFERROR(VLOOKUP(H127,PartyStorage,2, FALSE),0)</f>
        <v>0</v>
      </c>
      <c r="B127" s="895"/>
      <c r="C127" s="874"/>
      <c r="D127" s="893"/>
      <c r="E127" s="873" t="str">
        <f t="shared" si="1"/>
        <v/>
      </c>
      <c r="F127" s="874"/>
      <c r="G127" s="875"/>
      <c r="H127" s="891"/>
      <c r="I127" s="876"/>
      <c r="M127" s="378"/>
      <c r="N127" s="553">
        <f>IFERROR(VLOOKUP(G127,Ch8_Storage,2, FALSE),0)</f>
        <v>0</v>
      </c>
    </row>
    <row r="128" ht="18.75" customHeight="1">
      <c r="A128" s="598">
        <f>IFERROR(VLOOKUP(H128,PartyStorage,2, FALSE),0)</f>
        <v>0</v>
      </c>
      <c r="B128" s="896"/>
      <c r="C128" s="881"/>
      <c r="D128" s="894"/>
      <c r="E128" s="880" t="str">
        <f t="shared" si="1"/>
        <v/>
      </c>
      <c r="F128" s="881"/>
      <c r="G128" s="890"/>
      <c r="H128" s="883"/>
      <c r="I128" s="884"/>
      <c r="M128" s="885"/>
      <c r="N128" s="553">
        <f>IFERROR(VLOOKUP(G128,Ch8_Storage,2, FALSE),0)</f>
        <v>0</v>
      </c>
    </row>
    <row r="129" ht="18.75" customHeight="1">
      <c r="A129" s="598">
        <f>IFERROR(VLOOKUP(H129,PartyStorage,2, FALSE),0)</f>
        <v>0</v>
      </c>
      <c r="B129" s="895"/>
      <c r="C129" s="874"/>
      <c r="D129" s="893"/>
      <c r="E129" s="873" t="str">
        <f t="shared" si="1"/>
        <v/>
      </c>
      <c r="F129" s="874"/>
      <c r="G129" s="875"/>
      <c r="H129" s="891"/>
      <c r="I129" s="876"/>
      <c r="M129" s="378"/>
      <c r="N129" s="553">
        <f>IFERROR(VLOOKUP(G129,Ch8_Storage,2, FALSE),0)</f>
        <v>0</v>
      </c>
    </row>
    <row r="130" ht="18.75" customHeight="1">
      <c r="A130" s="598">
        <f>IFERROR(VLOOKUP(H130,PartyStorage,2, FALSE),0)</f>
        <v>0</v>
      </c>
      <c r="B130" s="896"/>
      <c r="C130" s="881"/>
      <c r="D130" s="894"/>
      <c r="E130" s="880" t="str">
        <f t="shared" si="1"/>
        <v/>
      </c>
      <c r="F130" s="881"/>
      <c r="G130" s="890"/>
      <c r="H130" s="883"/>
      <c r="I130" s="884"/>
      <c r="M130" s="885"/>
      <c r="N130" s="553">
        <f>IFERROR(VLOOKUP(G130,Ch8_Storage,2, FALSE),0)</f>
        <v>0</v>
      </c>
    </row>
    <row r="131" ht="18.75" customHeight="1">
      <c r="A131" s="598">
        <f>IFERROR(VLOOKUP(H131,PartyStorage,2, FALSE),0)</f>
        <v>0</v>
      </c>
      <c r="B131" s="895"/>
      <c r="C131" s="874"/>
      <c r="D131" s="893"/>
      <c r="E131" s="873" t="str">
        <f t="shared" si="1"/>
        <v/>
      </c>
      <c r="F131" s="874"/>
      <c r="G131" s="875"/>
      <c r="H131" s="891"/>
      <c r="I131" s="876"/>
      <c r="M131" s="378"/>
      <c r="N131" s="553">
        <f>IFERROR(VLOOKUP(G131,Ch8_Storage,2, FALSE),0)</f>
        <v>0</v>
      </c>
    </row>
    <row r="132" ht="18.75" customHeight="1">
      <c r="A132" s="598">
        <f>IFERROR(VLOOKUP(H132,PartyStorage,2, FALSE),0)</f>
        <v>0</v>
      </c>
      <c r="B132" s="896"/>
      <c r="C132" s="881"/>
      <c r="D132" s="894"/>
      <c r="E132" s="880" t="str">
        <f t="shared" si="1"/>
        <v/>
      </c>
      <c r="F132" s="881"/>
      <c r="G132" s="890"/>
      <c r="H132" s="883"/>
      <c r="I132" s="884"/>
      <c r="M132" s="885"/>
      <c r="N132" s="553">
        <f>IFERROR(VLOOKUP(G132,Ch8_Storage,2, FALSE),0)</f>
        <v>0</v>
      </c>
    </row>
    <row r="133" ht="18.75" customHeight="1">
      <c r="A133" s="598">
        <f>IFERROR(VLOOKUP(H133,PartyStorage,2, FALSE),0)</f>
        <v>0</v>
      </c>
      <c r="B133" s="895"/>
      <c r="C133" s="874"/>
      <c r="D133" s="893"/>
      <c r="E133" s="873" t="str">
        <f t="shared" si="1"/>
        <v/>
      </c>
      <c r="F133" s="874"/>
      <c r="G133" s="875"/>
      <c r="H133" s="891"/>
      <c r="I133" s="876"/>
      <c r="M133" s="378"/>
      <c r="N133" s="553">
        <f>IFERROR(VLOOKUP(G133,Ch8_Storage,2, FALSE),0)</f>
        <v>0</v>
      </c>
    </row>
    <row r="134" ht="18.75" customHeight="1">
      <c r="A134" s="598">
        <f>IFERROR(VLOOKUP(H134,PartyStorage,2, FALSE),0)</f>
        <v>0</v>
      </c>
      <c r="B134" s="896"/>
      <c r="C134" s="881"/>
      <c r="D134" s="894"/>
      <c r="E134" s="880" t="str">
        <f t="shared" si="1"/>
        <v/>
      </c>
      <c r="F134" s="881"/>
      <c r="G134" s="890"/>
      <c r="H134" s="883"/>
      <c r="I134" s="884"/>
      <c r="M134" s="885"/>
      <c r="N134" s="553">
        <f>IFERROR(VLOOKUP(G134,Ch8_Storage,2, FALSE),0)</f>
        <v>0</v>
      </c>
    </row>
    <row r="135" ht="18.75" customHeight="1">
      <c r="A135" s="598">
        <f>IFERROR(VLOOKUP(H135,PartyStorage,2, FALSE),0)</f>
        <v>0</v>
      </c>
      <c r="B135" s="895"/>
      <c r="C135" s="874"/>
      <c r="D135" s="893"/>
      <c r="E135" s="873" t="str">
        <f t="shared" si="1"/>
        <v/>
      </c>
      <c r="F135" s="874"/>
      <c r="G135" s="875"/>
      <c r="H135" s="891"/>
      <c r="I135" s="876"/>
      <c r="M135" s="378"/>
      <c r="N135" s="553">
        <f>IFERROR(VLOOKUP(G135,Ch8_Storage,2, FALSE),0)</f>
        <v>0</v>
      </c>
    </row>
    <row r="136" ht="18.75" customHeight="1">
      <c r="A136" s="598">
        <f>IFERROR(VLOOKUP(H136,PartyStorage,2, FALSE),0)</f>
        <v>0</v>
      </c>
      <c r="B136" s="896"/>
      <c r="C136" s="881"/>
      <c r="D136" s="894"/>
      <c r="E136" s="880" t="str">
        <f t="shared" si="1"/>
        <v/>
      </c>
      <c r="F136" s="881"/>
      <c r="G136" s="890"/>
      <c r="H136" s="883"/>
      <c r="I136" s="884"/>
      <c r="M136" s="885"/>
      <c r="N136" s="553">
        <f>IFERROR(VLOOKUP(G136,Ch8_Storage,2, FALSE),0)</f>
        <v>0</v>
      </c>
    </row>
    <row r="137" ht="18.75" customHeight="1">
      <c r="A137" s="598">
        <f>IFERROR(VLOOKUP(H137,PartyStorage,2, FALSE),0)</f>
        <v>0</v>
      </c>
      <c r="B137" s="895"/>
      <c r="C137" s="874"/>
      <c r="D137" s="893"/>
      <c r="E137" s="873" t="str">
        <f t="shared" si="1"/>
        <v/>
      </c>
      <c r="F137" s="874"/>
      <c r="G137" s="875"/>
      <c r="H137" s="891"/>
      <c r="I137" s="876"/>
      <c r="M137" s="378"/>
      <c r="N137" s="553">
        <f>IFERROR(VLOOKUP(G137,Ch8_Storage,2, FALSE),0)</f>
        <v>0</v>
      </c>
    </row>
    <row r="138" ht="18.75" customHeight="1">
      <c r="A138" s="598">
        <f>IFERROR(VLOOKUP(H138,PartyStorage,2, FALSE),0)</f>
        <v>0</v>
      </c>
      <c r="B138" s="896"/>
      <c r="C138" s="881"/>
      <c r="D138" s="894"/>
      <c r="E138" s="880" t="str">
        <f t="shared" si="1"/>
        <v/>
      </c>
      <c r="F138" s="881"/>
      <c r="G138" s="890"/>
      <c r="H138" s="883"/>
      <c r="I138" s="884"/>
      <c r="M138" s="885"/>
      <c r="N138" s="553">
        <f>IFERROR(VLOOKUP(G138,Ch8_Storage,2, FALSE),0)</f>
        <v>0</v>
      </c>
    </row>
    <row r="139" ht="18.75" customHeight="1">
      <c r="A139" s="598">
        <f>IFERROR(VLOOKUP(H139,PartyStorage,2, FALSE),0)</f>
        <v>0</v>
      </c>
      <c r="B139" s="895"/>
      <c r="C139" s="874"/>
      <c r="D139" s="893"/>
      <c r="E139" s="873" t="str">
        <f t="shared" si="1"/>
        <v/>
      </c>
      <c r="F139" s="874"/>
      <c r="G139" s="875"/>
      <c r="H139" s="891"/>
      <c r="I139" s="876"/>
      <c r="M139" s="378"/>
      <c r="N139" s="553">
        <f>IFERROR(VLOOKUP(G139,Ch8_Storage,2, FALSE),0)</f>
        <v>0</v>
      </c>
    </row>
    <row r="140" ht="18.75" customHeight="1">
      <c r="A140" s="598">
        <f>IFERROR(VLOOKUP(H140,PartyStorage,2, FALSE),0)</f>
        <v>0</v>
      </c>
      <c r="B140" s="896"/>
      <c r="C140" s="881"/>
      <c r="D140" s="894"/>
      <c r="E140" s="880" t="str">
        <f t="shared" si="1"/>
        <v/>
      </c>
      <c r="F140" s="881"/>
      <c r="G140" s="890"/>
      <c r="H140" s="883"/>
      <c r="I140" s="884"/>
      <c r="M140" s="885"/>
      <c r="N140" s="553">
        <f>IFERROR(VLOOKUP(G140,Ch8_Storage,2, FALSE),0)</f>
        <v>0</v>
      </c>
    </row>
    <row r="141" ht="18.75" customHeight="1">
      <c r="A141" s="598">
        <f>IFERROR(VLOOKUP(H141,PartyStorage,2, FALSE),0)</f>
        <v>0</v>
      </c>
      <c r="B141" s="895"/>
      <c r="C141" s="874"/>
      <c r="D141" s="893"/>
      <c r="E141" s="873" t="str">
        <f t="shared" si="1"/>
        <v/>
      </c>
      <c r="F141" s="874"/>
      <c r="G141" s="875"/>
      <c r="H141" s="891"/>
      <c r="I141" s="876"/>
      <c r="M141" s="378"/>
      <c r="N141" s="553">
        <f>IFERROR(VLOOKUP(G141,Ch8_Storage,2, FALSE),0)</f>
        <v>0</v>
      </c>
    </row>
    <row r="142" ht="18.75" customHeight="1">
      <c r="A142" s="598">
        <f>IFERROR(VLOOKUP(H142,PartyStorage,2, FALSE),0)</f>
        <v>0</v>
      </c>
      <c r="B142" s="896"/>
      <c r="C142" s="881"/>
      <c r="D142" s="894"/>
      <c r="E142" s="880" t="str">
        <f t="shared" si="1"/>
        <v/>
      </c>
      <c r="F142" s="881"/>
      <c r="G142" s="890"/>
      <c r="H142" s="883"/>
      <c r="I142" s="884"/>
      <c r="M142" s="885"/>
      <c r="N142" s="553">
        <f>IFERROR(VLOOKUP(G142,Ch8_Storage,2, FALSE),0)</f>
        <v>0</v>
      </c>
    </row>
    <row r="143" ht="18.75" customHeight="1">
      <c r="A143" s="598">
        <f>IFERROR(VLOOKUP(H143,PartyStorage,2, FALSE),0)</f>
        <v>0</v>
      </c>
      <c r="B143" s="895"/>
      <c r="C143" s="874"/>
      <c r="D143" s="893"/>
      <c r="E143" s="873" t="str">
        <f t="shared" si="1"/>
        <v/>
      </c>
      <c r="F143" s="874"/>
      <c r="G143" s="875"/>
      <c r="H143" s="891"/>
      <c r="I143" s="876"/>
      <c r="M143" s="378"/>
      <c r="N143" s="553">
        <f>IFERROR(VLOOKUP(G143,Ch8_Storage,2, FALSE),0)</f>
        <v>0</v>
      </c>
    </row>
    <row r="144" ht="18.75" customHeight="1">
      <c r="A144" s="598">
        <f>IFERROR(VLOOKUP(H144,PartyStorage,2, FALSE),0)</f>
        <v>0</v>
      </c>
      <c r="B144" s="896"/>
      <c r="C144" s="881"/>
      <c r="D144" s="894"/>
      <c r="E144" s="880" t="str">
        <f t="shared" si="1"/>
        <v/>
      </c>
      <c r="F144" s="881"/>
      <c r="G144" s="890"/>
      <c r="H144" s="883"/>
      <c r="I144" s="884"/>
      <c r="M144" s="885"/>
      <c r="N144" s="553">
        <f>IFERROR(VLOOKUP(G144,Ch8_Storage,2, FALSE),0)</f>
        <v>0</v>
      </c>
    </row>
    <row r="145" ht="18.75" customHeight="1">
      <c r="A145" s="598">
        <f>IFERROR(VLOOKUP(H145,PartyStorage,2, FALSE),0)</f>
        <v>0</v>
      </c>
      <c r="B145" s="895"/>
      <c r="C145" s="874"/>
      <c r="D145" s="893"/>
      <c r="E145" s="873" t="str">
        <f t="shared" si="1"/>
        <v/>
      </c>
      <c r="F145" s="874"/>
      <c r="G145" s="875"/>
      <c r="H145" s="891"/>
      <c r="I145" s="876"/>
      <c r="M145" s="378"/>
      <c r="N145" s="553">
        <f>IFERROR(VLOOKUP(G145,Ch8_Storage,2, FALSE),0)</f>
        <v>0</v>
      </c>
    </row>
    <row r="146" ht="18.75" customHeight="1">
      <c r="A146" s="598">
        <f>IFERROR(VLOOKUP(H146,PartyStorage,2, FALSE),0)</f>
        <v>0</v>
      </c>
      <c r="B146" s="896"/>
      <c r="C146" s="881"/>
      <c r="D146" s="894"/>
      <c r="E146" s="880" t="str">
        <f t="shared" si="1"/>
        <v/>
      </c>
      <c r="F146" s="881"/>
      <c r="G146" s="890"/>
      <c r="H146" s="883"/>
      <c r="I146" s="884"/>
      <c r="M146" s="885"/>
      <c r="N146" s="553">
        <f>IFERROR(VLOOKUP(G146,Ch8_Storage,2, FALSE),0)</f>
        <v>0</v>
      </c>
    </row>
    <row r="147" ht="18.75" customHeight="1">
      <c r="A147" s="598">
        <f>IFERROR(VLOOKUP(H147,PartyStorage,2, FALSE),0)</f>
        <v>0</v>
      </c>
      <c r="B147" s="895"/>
      <c r="C147" s="874"/>
      <c r="D147" s="893"/>
      <c r="E147" s="873" t="str">
        <f t="shared" si="1"/>
        <v/>
      </c>
      <c r="F147" s="874"/>
      <c r="G147" s="875"/>
      <c r="H147" s="891"/>
      <c r="I147" s="876"/>
      <c r="M147" s="378"/>
      <c r="N147" s="553">
        <f>IFERROR(VLOOKUP(G147,Ch8_Storage,2, FALSE),0)</f>
        <v>0</v>
      </c>
    </row>
    <row r="148" ht="18.75" customHeight="1">
      <c r="A148" s="598">
        <f>IFERROR(VLOOKUP(H148,PartyStorage,2, FALSE),0)</f>
        <v>0</v>
      </c>
      <c r="B148" s="896"/>
      <c r="C148" s="881"/>
      <c r="D148" s="894"/>
      <c r="E148" s="880" t="str">
        <f t="shared" si="1"/>
        <v/>
      </c>
      <c r="F148" s="881"/>
      <c r="G148" s="890"/>
      <c r="H148" s="883"/>
      <c r="I148" s="884"/>
      <c r="M148" s="885"/>
      <c r="N148" s="553">
        <f>IFERROR(VLOOKUP(G148,Ch8_Storage,2, FALSE),0)</f>
        <v>0</v>
      </c>
    </row>
    <row r="149" ht="18.75" customHeight="1">
      <c r="A149" s="598">
        <f>IFERROR(VLOOKUP(H149,PartyStorage,2, FALSE),0)</f>
        <v>0</v>
      </c>
      <c r="B149" s="895"/>
      <c r="C149" s="874"/>
      <c r="D149" s="893"/>
      <c r="E149" s="873" t="str">
        <f t="shared" si="1"/>
        <v/>
      </c>
      <c r="F149" s="874"/>
      <c r="G149" s="875"/>
      <c r="H149" s="891"/>
      <c r="I149" s="876"/>
      <c r="M149" s="378"/>
      <c r="N149" s="553">
        <f>IFERROR(VLOOKUP(G149,Ch8_Storage,2, FALSE),0)</f>
        <v>0</v>
      </c>
    </row>
    <row r="150" ht="18.75" customHeight="1">
      <c r="A150" s="598">
        <f>IFERROR(VLOOKUP(H150,PartyStorage,2, FALSE),0)</f>
        <v>0</v>
      </c>
      <c r="B150" s="896"/>
      <c r="C150" s="881"/>
      <c r="D150" s="894"/>
      <c r="E150" s="880" t="str">
        <f t="shared" si="1"/>
        <v/>
      </c>
      <c r="F150" s="881"/>
      <c r="G150" s="890"/>
      <c r="H150" s="883"/>
      <c r="I150" s="884"/>
      <c r="M150" s="885"/>
      <c r="N150" s="553">
        <f>IFERROR(VLOOKUP(G150,Ch8_Storage,2, FALSE),0)</f>
        <v>0</v>
      </c>
    </row>
    <row r="151" ht="18.75" customHeight="1">
      <c r="A151" s="598">
        <f>IFERROR(VLOOKUP(H151,PartyStorage,2, FALSE),0)</f>
        <v>0</v>
      </c>
      <c r="B151" s="895"/>
      <c r="C151" s="874"/>
      <c r="D151" s="893"/>
      <c r="E151" s="873" t="str">
        <f t="shared" si="1"/>
        <v/>
      </c>
      <c r="F151" s="874"/>
      <c r="G151" s="875"/>
      <c r="H151" s="891"/>
      <c r="I151" s="876"/>
      <c r="M151" s="378"/>
      <c r="N151" s="553">
        <f>IFERROR(VLOOKUP(G151,Ch8_Storage,2, FALSE),0)</f>
        <v>0</v>
      </c>
    </row>
    <row r="152" ht="18.75" customHeight="1">
      <c r="A152" s="598">
        <f>IFERROR(VLOOKUP(H152,PartyStorage,2, FALSE),0)</f>
        <v>0</v>
      </c>
      <c r="B152" s="896"/>
      <c r="C152" s="881"/>
      <c r="D152" s="894"/>
      <c r="E152" s="880" t="str">
        <f t="shared" si="1"/>
        <v/>
      </c>
      <c r="F152" s="881"/>
      <c r="G152" s="890"/>
      <c r="H152" s="883"/>
      <c r="I152" s="884"/>
      <c r="M152" s="885"/>
      <c r="N152" s="553">
        <f>IFERROR(VLOOKUP(G152,Ch8_Storage,2, FALSE),0)</f>
        <v>0</v>
      </c>
    </row>
    <row r="153" ht="18.75" customHeight="1">
      <c r="A153" s="598">
        <f>IFERROR(VLOOKUP(H153,PartyStorage,2, FALSE),0)</f>
        <v>0</v>
      </c>
      <c r="B153" s="895"/>
      <c r="C153" s="874"/>
      <c r="D153" s="893"/>
      <c r="E153" s="873" t="str">
        <f t="shared" si="1"/>
        <v/>
      </c>
      <c r="F153" s="874"/>
      <c r="G153" s="875"/>
      <c r="H153" s="891"/>
      <c r="I153" s="876"/>
      <c r="M153" s="378"/>
      <c r="N153" s="553">
        <f>IFERROR(VLOOKUP(G153,Ch8_Storage,2, FALSE),0)</f>
        <v>0</v>
      </c>
    </row>
    <row r="154" ht="18.75" customHeight="1">
      <c r="A154" s="598">
        <f>IFERROR(VLOOKUP(H154,PartyStorage,2, FALSE),0)</f>
        <v>0</v>
      </c>
      <c r="B154" s="896"/>
      <c r="C154" s="881"/>
      <c r="D154" s="894"/>
      <c r="E154" s="880" t="str">
        <f t="shared" si="1"/>
        <v/>
      </c>
      <c r="F154" s="881"/>
      <c r="G154" s="890"/>
      <c r="H154" s="883"/>
      <c r="I154" s="884"/>
      <c r="M154" s="885"/>
      <c r="N154" s="553">
        <f>IFERROR(VLOOKUP(G154,Ch8_Storage,2, FALSE),0)</f>
        <v>0</v>
      </c>
    </row>
    <row r="155" ht="18.75" customHeight="1">
      <c r="A155" s="598">
        <f>IFERROR(VLOOKUP(H155,PartyStorage,2, FALSE),0)</f>
        <v>0</v>
      </c>
      <c r="B155" s="895"/>
      <c r="C155" s="874"/>
      <c r="D155" s="893"/>
      <c r="E155" s="873" t="str">
        <f t="shared" si="1"/>
        <v/>
      </c>
      <c r="F155" s="874"/>
      <c r="G155" s="875"/>
      <c r="H155" s="891"/>
      <c r="I155" s="876"/>
      <c r="M155" s="378"/>
      <c r="N155" s="553">
        <f>IFERROR(VLOOKUP(G155,Ch8_Storage,2, FALSE),0)</f>
        <v>0</v>
      </c>
    </row>
    <row r="156" ht="18.75" customHeight="1">
      <c r="A156" s="598">
        <f>IFERROR(VLOOKUP(H156,PartyStorage,2, FALSE),0)</f>
        <v>0</v>
      </c>
      <c r="B156" s="896"/>
      <c r="C156" s="881"/>
      <c r="D156" s="894"/>
      <c r="E156" s="880" t="str">
        <f t="shared" si="1"/>
        <v/>
      </c>
      <c r="F156" s="881"/>
      <c r="G156" s="890"/>
      <c r="H156" s="883"/>
      <c r="I156" s="884"/>
      <c r="M156" s="885"/>
      <c r="N156" s="553">
        <f>IFERROR(VLOOKUP(G156,Ch8_Storage,2, FALSE),0)</f>
        <v>0</v>
      </c>
    </row>
    <row r="157" ht="18.75" customHeight="1">
      <c r="A157" s="598">
        <f>IFERROR(VLOOKUP(H157,PartyStorage,2, FALSE),0)</f>
        <v>0</v>
      </c>
      <c r="B157" s="895"/>
      <c r="C157" s="874"/>
      <c r="D157" s="893"/>
      <c r="E157" s="873" t="str">
        <f t="shared" si="1"/>
        <v/>
      </c>
      <c r="F157" s="874"/>
      <c r="G157" s="875"/>
      <c r="H157" s="891"/>
      <c r="I157" s="876"/>
      <c r="M157" s="378"/>
      <c r="N157" s="553">
        <f>IFERROR(VLOOKUP(G157,Ch8_Storage,2, FALSE),0)</f>
        <v>0</v>
      </c>
    </row>
    <row r="158" ht="18.75" customHeight="1">
      <c r="A158" s="598">
        <f>IFERROR(VLOOKUP(H158,PartyStorage,2, FALSE),0)</f>
        <v>0</v>
      </c>
      <c r="B158" s="896"/>
      <c r="C158" s="881"/>
      <c r="D158" s="894"/>
      <c r="E158" s="880" t="str">
        <f t="shared" si="1"/>
        <v/>
      </c>
      <c r="F158" s="881"/>
      <c r="G158" s="890"/>
      <c r="H158" s="883"/>
      <c r="I158" s="884"/>
      <c r="M158" s="885"/>
      <c r="N158" s="553">
        <f>IFERROR(VLOOKUP(G158,Ch8_Storage,2, FALSE),0)</f>
        <v>0</v>
      </c>
    </row>
    <row r="159" ht="18.75" customHeight="1">
      <c r="A159" s="598">
        <f>IFERROR(VLOOKUP(H159,PartyStorage,2, FALSE),0)</f>
        <v>0</v>
      </c>
      <c r="B159" s="895"/>
      <c r="C159" s="874"/>
      <c r="D159" s="893"/>
      <c r="E159" s="873" t="str">
        <f t="shared" si="1"/>
        <v/>
      </c>
      <c r="F159" s="874"/>
      <c r="G159" s="875"/>
      <c r="H159" s="891"/>
      <c r="I159" s="876"/>
      <c r="M159" s="378"/>
      <c r="N159" s="553">
        <f>IFERROR(VLOOKUP(G159,Ch8_Storage,2, FALSE),0)</f>
        <v>0</v>
      </c>
    </row>
    <row r="160" ht="18.75" customHeight="1">
      <c r="A160" s="598">
        <f>IFERROR(VLOOKUP(H160,PartyStorage,2, FALSE),0)</f>
        <v>0</v>
      </c>
      <c r="B160" s="896"/>
      <c r="C160" s="881"/>
      <c r="D160" s="894"/>
      <c r="E160" s="880" t="str">
        <f t="shared" si="1"/>
        <v/>
      </c>
      <c r="F160" s="881"/>
      <c r="G160" s="890"/>
      <c r="H160" s="883"/>
      <c r="I160" s="884"/>
      <c r="M160" s="885"/>
      <c r="N160" s="553">
        <f>IFERROR(VLOOKUP(G160,Ch8_Storage,2, FALSE),0)</f>
        <v>0</v>
      </c>
    </row>
    <row r="161" ht="18.75" customHeight="1">
      <c r="A161" s="598">
        <f>IFERROR(VLOOKUP(H161,PartyStorage,2, FALSE),0)</f>
        <v>0</v>
      </c>
      <c r="B161" s="895"/>
      <c r="C161" s="874"/>
      <c r="D161" s="893"/>
      <c r="E161" s="873" t="str">
        <f t="shared" si="1"/>
        <v/>
      </c>
      <c r="F161" s="874"/>
      <c r="G161" s="875"/>
      <c r="H161" s="891"/>
      <c r="I161" s="876"/>
      <c r="M161" s="378"/>
      <c r="N161" s="553">
        <f>IFERROR(VLOOKUP(G161,Ch8_Storage,2, FALSE),0)</f>
        <v>0</v>
      </c>
    </row>
    <row r="162" ht="18.75" customHeight="1">
      <c r="A162" s="598">
        <f>IFERROR(VLOOKUP(H162,PartyStorage,2, FALSE),0)</f>
        <v>0</v>
      </c>
      <c r="B162" s="896"/>
      <c r="C162" s="881"/>
      <c r="D162" s="894"/>
      <c r="E162" s="880" t="str">
        <f t="shared" si="1"/>
        <v/>
      </c>
      <c r="F162" s="881"/>
      <c r="G162" s="890"/>
      <c r="H162" s="883"/>
      <c r="I162" s="884"/>
      <c r="M162" s="885"/>
      <c r="N162" s="553">
        <f>IFERROR(VLOOKUP(G162,Ch8_Storage,2, FALSE),0)</f>
        <v>0</v>
      </c>
    </row>
    <row r="163" ht="18.75" customHeight="1">
      <c r="A163" s="598">
        <f>IFERROR(VLOOKUP(H163,PartyStorage,2, FALSE),0)</f>
        <v>0</v>
      </c>
      <c r="B163" s="895"/>
      <c r="C163" s="874"/>
      <c r="D163" s="893"/>
      <c r="E163" s="873" t="str">
        <f t="shared" si="1"/>
        <v/>
      </c>
      <c r="F163" s="874"/>
      <c r="G163" s="875"/>
      <c r="H163" s="891"/>
      <c r="I163" s="876"/>
      <c r="M163" s="378"/>
      <c r="N163" s="553">
        <f>IFERROR(VLOOKUP(G163,Ch8_Storage,2, FALSE),0)</f>
        <v>0</v>
      </c>
    </row>
    <row r="164" ht="18.75" customHeight="1">
      <c r="A164" s="598">
        <f>IFERROR(VLOOKUP(H164,PartyStorage,2, FALSE),0)</f>
        <v>0</v>
      </c>
      <c r="B164" s="896"/>
      <c r="C164" s="881"/>
      <c r="D164" s="894"/>
      <c r="E164" s="880" t="str">
        <f t="shared" si="1"/>
        <v/>
      </c>
      <c r="F164" s="881"/>
      <c r="G164" s="890"/>
      <c r="H164" s="883"/>
      <c r="I164" s="884"/>
      <c r="M164" s="885"/>
      <c r="N164" s="553">
        <f>IFERROR(VLOOKUP(G164,Ch8_Storage,2, FALSE),0)</f>
        <v>0</v>
      </c>
    </row>
    <row r="165" ht="18.75" customHeight="1">
      <c r="A165" s="598">
        <f>IFERROR(VLOOKUP(H165,PartyStorage,2, FALSE),0)</f>
        <v>0</v>
      </c>
      <c r="B165" s="895"/>
      <c r="C165" s="874"/>
      <c r="D165" s="893"/>
      <c r="E165" s="873" t="str">
        <f t="shared" si="1"/>
        <v/>
      </c>
      <c r="F165" s="874"/>
      <c r="G165" s="875"/>
      <c r="H165" s="891"/>
      <c r="I165" s="876"/>
      <c r="M165" s="378"/>
      <c r="N165" s="553">
        <f>IFERROR(VLOOKUP(G165,Ch8_Storage,2, FALSE),0)</f>
        <v>0</v>
      </c>
    </row>
    <row r="166" ht="18.75" customHeight="1">
      <c r="A166" s="598">
        <f>IFERROR(VLOOKUP(H166,PartyStorage,2, FALSE),0)</f>
        <v>0</v>
      </c>
      <c r="B166" s="896"/>
      <c r="C166" s="881"/>
      <c r="D166" s="894"/>
      <c r="E166" s="880" t="str">
        <f t="shared" si="1"/>
        <v/>
      </c>
      <c r="F166" s="881"/>
      <c r="G166" s="890"/>
      <c r="H166" s="883"/>
      <c r="I166" s="884"/>
      <c r="M166" s="885"/>
      <c r="N166" s="553">
        <f>IFERROR(VLOOKUP(G166,Ch8_Storage,2, FALSE),0)</f>
        <v>0</v>
      </c>
    </row>
    <row r="167" ht="18.75" customHeight="1">
      <c r="A167" s="598">
        <f>IFERROR(VLOOKUP(H167,PartyStorage,2, FALSE),0)</f>
        <v>0</v>
      </c>
      <c r="B167" s="895"/>
      <c r="C167" s="874"/>
      <c r="D167" s="893"/>
      <c r="E167" s="873" t="str">
        <f t="shared" si="1"/>
        <v/>
      </c>
      <c r="F167" s="874"/>
      <c r="G167" s="875"/>
      <c r="H167" s="891"/>
      <c r="I167" s="876"/>
      <c r="M167" s="378"/>
      <c r="N167" s="553">
        <f>IFERROR(VLOOKUP(G167,Ch8_Storage,2, FALSE),0)</f>
        <v>0</v>
      </c>
    </row>
    <row r="168" ht="18.75" customHeight="1">
      <c r="A168" s="598">
        <f>IFERROR(VLOOKUP(H168,PartyStorage,2, FALSE),0)</f>
        <v>0</v>
      </c>
      <c r="B168" s="896"/>
      <c r="C168" s="881"/>
      <c r="D168" s="894"/>
      <c r="E168" s="880" t="str">
        <f t="shared" si="1"/>
        <v/>
      </c>
      <c r="F168" s="881"/>
      <c r="G168" s="890"/>
      <c r="H168" s="883"/>
      <c r="I168" s="884"/>
      <c r="M168" s="885"/>
      <c r="N168" s="553">
        <f>IFERROR(VLOOKUP(G168,Ch8_Storage,2, FALSE),0)</f>
        <v>0</v>
      </c>
    </row>
    <row r="169" ht="18.75" customHeight="1">
      <c r="A169" s="598">
        <f>IFERROR(VLOOKUP(H169,PartyStorage,2, FALSE),0)</f>
        <v>0</v>
      </c>
      <c r="B169" s="895"/>
      <c r="C169" s="874"/>
      <c r="D169" s="893"/>
      <c r="E169" s="873" t="str">
        <f t="shared" si="1"/>
        <v/>
      </c>
      <c r="F169" s="874"/>
      <c r="G169" s="875"/>
      <c r="H169" s="891"/>
      <c r="I169" s="876"/>
      <c r="M169" s="378"/>
      <c r="N169" s="553">
        <f>IFERROR(VLOOKUP(G169,Ch8_Storage,2, FALSE),0)</f>
        <v>0</v>
      </c>
    </row>
    <row r="170" ht="18.75" customHeight="1">
      <c r="A170" s="598">
        <f>IFERROR(VLOOKUP(H170,PartyStorage,2, FALSE),0)</f>
        <v>0</v>
      </c>
      <c r="B170" s="896"/>
      <c r="C170" s="881"/>
      <c r="D170" s="894"/>
      <c r="E170" s="880" t="str">
        <f t="shared" si="1"/>
        <v/>
      </c>
      <c r="F170" s="881"/>
      <c r="G170" s="890"/>
      <c r="H170" s="883"/>
      <c r="I170" s="884"/>
      <c r="M170" s="885"/>
      <c r="N170" s="553">
        <f>IFERROR(VLOOKUP(G170,Ch8_Storage,2, FALSE),0)</f>
        <v>0</v>
      </c>
    </row>
    <row r="171" ht="18.75" customHeight="1">
      <c r="A171" s="598">
        <f>IFERROR(VLOOKUP(H171,PartyStorage,2, FALSE),0)</f>
        <v>0</v>
      </c>
      <c r="B171" s="895"/>
      <c r="C171" s="874"/>
      <c r="D171" s="893"/>
      <c r="E171" s="873" t="str">
        <f t="shared" si="1"/>
        <v/>
      </c>
      <c r="F171" s="874"/>
      <c r="G171" s="875"/>
      <c r="H171" s="891"/>
      <c r="I171" s="876"/>
      <c r="M171" s="378"/>
      <c r="N171" s="553">
        <f>IFERROR(VLOOKUP(G171,Ch8_Storage,2, FALSE),0)</f>
        <v>0</v>
      </c>
    </row>
    <row r="172" ht="18.75" customHeight="1">
      <c r="A172" s="598">
        <f>IFERROR(VLOOKUP(H172,PartyStorage,2, FALSE),0)</f>
        <v>0</v>
      </c>
      <c r="B172" s="896"/>
      <c r="C172" s="881"/>
      <c r="D172" s="894"/>
      <c r="E172" s="880" t="str">
        <f t="shared" si="1"/>
        <v/>
      </c>
      <c r="F172" s="881"/>
      <c r="G172" s="890"/>
      <c r="H172" s="883"/>
      <c r="I172" s="884"/>
      <c r="M172" s="885"/>
      <c r="N172" s="553">
        <f>IFERROR(VLOOKUP(G172,Ch8_Storage,2, FALSE),0)</f>
        <v>0</v>
      </c>
    </row>
    <row r="173" ht="18.75" customHeight="1">
      <c r="A173" s="598">
        <f>IFERROR(VLOOKUP(H173,PartyStorage,2, FALSE),0)</f>
        <v>0</v>
      </c>
      <c r="B173" s="895"/>
      <c r="C173" s="874"/>
      <c r="D173" s="893"/>
      <c r="E173" s="873" t="str">
        <f t="shared" si="1"/>
        <v/>
      </c>
      <c r="F173" s="874"/>
      <c r="G173" s="875"/>
      <c r="H173" s="891"/>
      <c r="I173" s="876"/>
      <c r="M173" s="378"/>
      <c r="N173" s="553">
        <f>IFERROR(VLOOKUP(G173,Ch8_Storage,2, FALSE),0)</f>
        <v>0</v>
      </c>
    </row>
    <row r="174" ht="18.75" customHeight="1">
      <c r="A174" s="598">
        <f>IFERROR(VLOOKUP(H174,PartyStorage,2, FALSE),0)</f>
        <v>0</v>
      </c>
      <c r="B174" s="896"/>
      <c r="C174" s="881"/>
      <c r="D174" s="894"/>
      <c r="E174" s="880" t="str">
        <f t="shared" si="1"/>
        <v/>
      </c>
      <c r="F174" s="881"/>
      <c r="G174" s="890"/>
      <c r="H174" s="883"/>
      <c r="I174" s="884"/>
      <c r="M174" s="885"/>
      <c r="N174" s="553">
        <f>IFERROR(VLOOKUP(G174,Ch8_Storage,2, FALSE),0)</f>
        <v>0</v>
      </c>
    </row>
    <row r="175" ht="18.75" customHeight="1">
      <c r="A175" s="598">
        <f>IFERROR(VLOOKUP(H175,PartyStorage,2, FALSE),0)</f>
        <v>0</v>
      </c>
      <c r="B175" s="895"/>
      <c r="C175" s="874"/>
      <c r="D175" s="893"/>
      <c r="E175" s="873" t="str">
        <f t="shared" si="1"/>
        <v/>
      </c>
      <c r="F175" s="874"/>
      <c r="G175" s="875"/>
      <c r="H175" s="891"/>
      <c r="I175" s="876"/>
      <c r="M175" s="378"/>
      <c r="N175" s="553">
        <f>IFERROR(VLOOKUP(G175,Ch8_Storage,2, FALSE),0)</f>
        <v>0</v>
      </c>
    </row>
    <row r="176" ht="18.75" customHeight="1">
      <c r="A176" s="598">
        <f>IFERROR(VLOOKUP(H176,PartyStorage,2, FALSE),0)</f>
        <v>0</v>
      </c>
      <c r="B176" s="896"/>
      <c r="C176" s="881"/>
      <c r="D176" s="894"/>
      <c r="E176" s="880" t="str">
        <f t="shared" si="1"/>
        <v/>
      </c>
      <c r="F176" s="881"/>
      <c r="G176" s="890"/>
      <c r="H176" s="883"/>
      <c r="I176" s="884"/>
      <c r="M176" s="885"/>
      <c r="N176" s="553">
        <f>IFERROR(VLOOKUP(G176,Ch8_Storage,2, FALSE),0)</f>
        <v>0</v>
      </c>
    </row>
    <row r="177" ht="18.75" customHeight="1">
      <c r="A177" s="598">
        <f>IFERROR(VLOOKUP(H177,PartyStorage,2, FALSE),0)</f>
        <v>0</v>
      </c>
      <c r="B177" s="895"/>
      <c r="C177" s="874"/>
      <c r="D177" s="893"/>
      <c r="E177" s="873" t="str">
        <f t="shared" si="1"/>
        <v/>
      </c>
      <c r="F177" s="874"/>
      <c r="G177" s="875"/>
      <c r="H177" s="891"/>
      <c r="I177" s="876"/>
      <c r="M177" s="378"/>
      <c r="N177" s="553">
        <f>IFERROR(VLOOKUP(G177,Ch8_Storage,2, FALSE),0)</f>
        <v>0</v>
      </c>
    </row>
    <row r="178" ht="18.75" customHeight="1">
      <c r="A178" s="598">
        <f>IFERROR(VLOOKUP(H178,PartyStorage,2, FALSE),0)</f>
        <v>0</v>
      </c>
      <c r="B178" s="896"/>
      <c r="C178" s="881"/>
      <c r="D178" s="894"/>
      <c r="E178" s="880" t="str">
        <f t="shared" si="1"/>
        <v/>
      </c>
      <c r="F178" s="881"/>
      <c r="G178" s="890"/>
      <c r="H178" s="883"/>
      <c r="I178" s="884"/>
      <c r="M178" s="885"/>
      <c r="N178" s="553">
        <f>IFERROR(VLOOKUP(G178,Ch8_Storage,2, FALSE),0)</f>
        <v>0</v>
      </c>
    </row>
    <row r="179" ht="18.75" customHeight="1">
      <c r="A179" s="598">
        <f>IFERROR(VLOOKUP(H179,PartyStorage,2, FALSE),0)</f>
        <v>0</v>
      </c>
      <c r="B179" s="895"/>
      <c r="C179" s="874"/>
      <c r="D179" s="893"/>
      <c r="E179" s="873" t="str">
        <f t="shared" si="1"/>
        <v/>
      </c>
      <c r="F179" s="874"/>
      <c r="G179" s="875"/>
      <c r="H179" s="891"/>
      <c r="I179" s="876"/>
      <c r="M179" s="378"/>
      <c r="N179" s="553">
        <f>IFERROR(VLOOKUP(G179,Ch8_Storage,2, FALSE),0)</f>
        <v>0</v>
      </c>
    </row>
    <row r="180" ht="18.75" customHeight="1">
      <c r="A180" s="598">
        <f>IFERROR(VLOOKUP(H180,PartyStorage,2, FALSE),0)</f>
        <v>0</v>
      </c>
      <c r="B180" s="896"/>
      <c r="C180" s="881"/>
      <c r="D180" s="894"/>
      <c r="E180" s="880" t="str">
        <f t="shared" si="1"/>
        <v/>
      </c>
      <c r="F180" s="881"/>
      <c r="G180" s="890"/>
      <c r="H180" s="883"/>
      <c r="I180" s="884"/>
      <c r="M180" s="885"/>
      <c r="N180" s="553">
        <f>IFERROR(VLOOKUP(G180,Ch8_Storage,2, FALSE),0)</f>
        <v>0</v>
      </c>
    </row>
    <row r="181" ht="18.75" customHeight="1">
      <c r="A181" s="598">
        <f>IFERROR(VLOOKUP(H181,PartyStorage,2, FALSE),0)</f>
        <v>0</v>
      </c>
      <c r="B181" s="895"/>
      <c r="C181" s="874"/>
      <c r="D181" s="893"/>
      <c r="E181" s="873" t="str">
        <f t="shared" si="1"/>
        <v/>
      </c>
      <c r="F181" s="874"/>
      <c r="G181" s="875"/>
      <c r="H181" s="891"/>
      <c r="I181" s="876"/>
      <c r="M181" s="378"/>
      <c r="N181" s="553">
        <f>IFERROR(VLOOKUP(G181,Ch8_Storage,2, FALSE),0)</f>
        <v>0</v>
      </c>
    </row>
    <row r="182" ht="18.75" customHeight="1">
      <c r="A182" s="598">
        <f>IFERROR(VLOOKUP(H182,PartyStorage,2, FALSE),0)</f>
        <v>0</v>
      </c>
      <c r="B182" s="896"/>
      <c r="C182" s="881"/>
      <c r="D182" s="894"/>
      <c r="E182" s="880" t="str">
        <f t="shared" si="1"/>
        <v/>
      </c>
      <c r="F182" s="881"/>
      <c r="G182" s="890"/>
      <c r="H182" s="883"/>
      <c r="I182" s="884"/>
      <c r="M182" s="885"/>
      <c r="N182" s="553">
        <f>IFERROR(VLOOKUP(G182,Ch8_Storage,2, FALSE),0)</f>
        <v>0</v>
      </c>
    </row>
    <row r="183" ht="18.75" customHeight="1">
      <c r="A183" s="598">
        <f>IFERROR(VLOOKUP(H183,PartyStorage,2, FALSE),0)</f>
        <v>0</v>
      </c>
      <c r="B183" s="895"/>
      <c r="C183" s="874"/>
      <c r="D183" s="893"/>
      <c r="E183" s="873" t="str">
        <f t="shared" si="1"/>
        <v/>
      </c>
      <c r="F183" s="874"/>
      <c r="G183" s="875"/>
      <c r="H183" s="891"/>
      <c r="I183" s="876"/>
      <c r="M183" s="378"/>
      <c r="N183" s="553">
        <f>IFERROR(VLOOKUP(G183,Ch8_Storage,2, FALSE),0)</f>
        <v>0</v>
      </c>
    </row>
    <row r="184" ht="18.75" customHeight="1">
      <c r="A184" s="598">
        <f>IFERROR(VLOOKUP(H184,PartyStorage,2, FALSE),0)</f>
        <v>0</v>
      </c>
      <c r="B184" s="896"/>
      <c r="C184" s="881"/>
      <c r="D184" s="894"/>
      <c r="E184" s="880" t="str">
        <f t="shared" si="1"/>
        <v/>
      </c>
      <c r="F184" s="881"/>
      <c r="G184" s="890"/>
      <c r="H184" s="883"/>
      <c r="I184" s="884"/>
      <c r="M184" s="885"/>
      <c r="N184" s="553">
        <f>IFERROR(VLOOKUP(G184,Ch8_Storage,2, FALSE),0)</f>
        <v>0</v>
      </c>
    </row>
    <row r="185" ht="18.75" customHeight="1">
      <c r="A185" s="598">
        <f>IFERROR(VLOOKUP(H185,PartyStorage,2, FALSE),0)</f>
        <v>0</v>
      </c>
      <c r="B185" s="895"/>
      <c r="C185" s="874"/>
      <c r="D185" s="893"/>
      <c r="E185" s="873" t="str">
        <f t="shared" si="1"/>
        <v/>
      </c>
      <c r="F185" s="874"/>
      <c r="G185" s="875"/>
      <c r="H185" s="891"/>
      <c r="I185" s="876"/>
      <c r="M185" s="378"/>
      <c r="N185" s="553">
        <f>IFERROR(VLOOKUP(G185,Ch8_Storage,2, FALSE),0)</f>
        <v>0</v>
      </c>
    </row>
    <row r="186" ht="18.75" customHeight="1">
      <c r="A186" s="598">
        <f>IFERROR(VLOOKUP(H186,PartyStorage,2, FALSE),0)</f>
        <v>0</v>
      </c>
      <c r="B186" s="896"/>
      <c r="C186" s="881"/>
      <c r="D186" s="894"/>
      <c r="E186" s="880" t="str">
        <f t="shared" si="1"/>
        <v/>
      </c>
      <c r="F186" s="881"/>
      <c r="G186" s="890"/>
      <c r="H186" s="883"/>
      <c r="I186" s="884"/>
      <c r="M186" s="885"/>
      <c r="N186" s="553">
        <f>IFERROR(VLOOKUP(G186,Ch8_Storage,2, FALSE),0)</f>
        <v>0</v>
      </c>
    </row>
    <row r="187" ht="18.75" customHeight="1">
      <c r="A187" s="598">
        <f>IFERROR(VLOOKUP(H187,PartyStorage,2, FALSE),0)</f>
        <v>0</v>
      </c>
      <c r="B187" s="895"/>
      <c r="C187" s="874"/>
      <c r="D187" s="893"/>
      <c r="E187" s="873" t="str">
        <f t="shared" si="1"/>
        <v/>
      </c>
      <c r="F187" s="874"/>
      <c r="G187" s="875"/>
      <c r="H187" s="891"/>
      <c r="I187" s="876"/>
      <c r="M187" s="378"/>
      <c r="N187" s="553">
        <f>IFERROR(VLOOKUP(G187,Ch8_Storage,2, FALSE),0)</f>
        <v>0</v>
      </c>
    </row>
    <row r="188" ht="18.75" customHeight="1">
      <c r="A188" s="598">
        <f>IFERROR(VLOOKUP(H188,PartyStorage,2, FALSE),0)</f>
        <v>0</v>
      </c>
      <c r="B188" s="896"/>
      <c r="C188" s="881"/>
      <c r="D188" s="894"/>
      <c r="E188" s="880" t="str">
        <f t="shared" si="1"/>
        <v/>
      </c>
      <c r="F188" s="881"/>
      <c r="G188" s="890"/>
      <c r="H188" s="883"/>
      <c r="I188" s="884"/>
      <c r="M188" s="885"/>
      <c r="N188" s="553">
        <f>IFERROR(VLOOKUP(G188,Ch8_Storage,2, FALSE),0)</f>
        <v>0</v>
      </c>
    </row>
    <row r="189" ht="18.75" customHeight="1">
      <c r="A189" s="598">
        <f>IFERROR(VLOOKUP(H189,PartyStorage,2, FALSE),0)</f>
        <v>0</v>
      </c>
      <c r="B189" s="895"/>
      <c r="C189" s="874"/>
      <c r="D189" s="893"/>
      <c r="E189" s="873" t="str">
        <f t="shared" si="1"/>
        <v/>
      </c>
      <c r="F189" s="874"/>
      <c r="G189" s="875"/>
      <c r="H189" s="891"/>
      <c r="I189" s="876"/>
      <c r="M189" s="378"/>
      <c r="N189" s="553">
        <f>IFERROR(VLOOKUP(G189,Ch8_Storage,2, FALSE),0)</f>
        <v>0</v>
      </c>
    </row>
    <row r="190" ht="18.75" customHeight="1">
      <c r="A190" s="598">
        <f>IFERROR(VLOOKUP(H190,PartyStorage,2, FALSE),0)</f>
        <v>0</v>
      </c>
      <c r="B190" s="896"/>
      <c r="C190" s="881"/>
      <c r="D190" s="894"/>
      <c r="E190" s="880" t="str">
        <f t="shared" si="1"/>
        <v/>
      </c>
      <c r="F190" s="881"/>
      <c r="G190" s="890"/>
      <c r="H190" s="883"/>
      <c r="I190" s="884"/>
      <c r="M190" s="885"/>
      <c r="N190" s="553">
        <f>IFERROR(VLOOKUP(G190,Ch8_Storage,2, FALSE),0)</f>
        <v>0</v>
      </c>
    </row>
    <row r="191" ht="18.75" customHeight="1">
      <c r="A191" s="598">
        <f>IFERROR(VLOOKUP(H191,PartyStorage,2, FALSE),0)</f>
        <v>0</v>
      </c>
      <c r="B191" s="895"/>
      <c r="C191" s="874"/>
      <c r="D191" s="893"/>
      <c r="E191" s="873" t="str">
        <f t="shared" si="1"/>
        <v/>
      </c>
      <c r="F191" s="874"/>
      <c r="G191" s="875"/>
      <c r="H191" s="891"/>
      <c r="I191" s="876"/>
      <c r="M191" s="378"/>
      <c r="N191" s="553">
        <f>IFERROR(VLOOKUP(G191,Ch8_Storage,2, FALSE),0)</f>
        <v>0</v>
      </c>
    </row>
    <row r="192" ht="18.75" customHeight="1">
      <c r="A192" s="598">
        <f>IFERROR(VLOOKUP(H192,PartyStorage,2, FALSE),0)</f>
        <v>0</v>
      </c>
      <c r="B192" s="896"/>
      <c r="C192" s="881"/>
      <c r="D192" s="894"/>
      <c r="E192" s="880" t="str">
        <f t="shared" si="1"/>
        <v/>
      </c>
      <c r="F192" s="881"/>
      <c r="G192" s="890"/>
      <c r="H192" s="883"/>
      <c r="I192" s="884"/>
      <c r="M192" s="885"/>
      <c r="N192" s="553">
        <f>IFERROR(VLOOKUP(G192,Ch8_Storage,2, FALSE),0)</f>
        <v>0</v>
      </c>
    </row>
    <row r="193" ht="18.75" customHeight="1">
      <c r="A193" s="598">
        <f>IFERROR(VLOOKUP(H193,PartyStorage,2, FALSE),0)</f>
        <v>0</v>
      </c>
      <c r="B193" s="895"/>
      <c r="C193" s="874"/>
      <c r="D193" s="893"/>
      <c r="E193" s="873" t="str">
        <f t="shared" si="1"/>
        <v/>
      </c>
      <c r="F193" s="874"/>
      <c r="G193" s="875"/>
      <c r="H193" s="891"/>
      <c r="I193" s="876"/>
      <c r="M193" s="378"/>
      <c r="N193" s="553">
        <f>IFERROR(VLOOKUP(G193,Ch8_Storage,2, FALSE),0)</f>
        <v>0</v>
      </c>
    </row>
    <row r="194" ht="18.75" customHeight="1">
      <c r="A194" s="598">
        <f>IFERROR(VLOOKUP(H194,PartyStorage,2, FALSE),0)</f>
        <v>0</v>
      </c>
      <c r="B194" s="896"/>
      <c r="C194" s="881"/>
      <c r="D194" s="894"/>
      <c r="E194" s="880" t="str">
        <f t="shared" si="1"/>
        <v/>
      </c>
      <c r="F194" s="881"/>
      <c r="G194" s="890"/>
      <c r="H194" s="883"/>
      <c r="I194" s="884"/>
      <c r="M194" s="885"/>
      <c r="N194" s="553">
        <f>IFERROR(VLOOKUP(G194,Ch8_Storage,2, FALSE),0)</f>
        <v>0</v>
      </c>
    </row>
    <row r="195" ht="18.75" customHeight="1">
      <c r="A195" s="598">
        <f>IFERROR(VLOOKUP(H195,PartyStorage,2, FALSE),0)</f>
        <v>0</v>
      </c>
      <c r="B195" s="895"/>
      <c r="C195" s="874"/>
      <c r="D195" s="893"/>
      <c r="E195" s="873" t="str">
        <f t="shared" si="1"/>
        <v/>
      </c>
      <c r="F195" s="874"/>
      <c r="G195" s="875"/>
      <c r="H195" s="891"/>
      <c r="I195" s="876"/>
      <c r="M195" s="378"/>
      <c r="N195" s="553">
        <f>IFERROR(VLOOKUP(G195,Ch8_Storage,2, FALSE),0)</f>
        <v>0</v>
      </c>
    </row>
    <row r="196" ht="18.75" customHeight="1">
      <c r="A196" s="598">
        <f>IFERROR(VLOOKUP(H196,PartyStorage,2, FALSE),0)</f>
        <v>0</v>
      </c>
      <c r="B196" s="896"/>
      <c r="C196" s="881"/>
      <c r="D196" s="894"/>
      <c r="E196" s="880" t="str">
        <f t="shared" si="1"/>
        <v/>
      </c>
      <c r="F196" s="881"/>
      <c r="G196" s="890"/>
      <c r="H196" s="883"/>
      <c r="I196" s="884"/>
      <c r="M196" s="885"/>
      <c r="N196" s="553">
        <f>IFERROR(VLOOKUP(G196,Ch8_Storage,2, FALSE),0)</f>
        <v>0</v>
      </c>
    </row>
    <row r="197" ht="18.75" customHeight="1">
      <c r="A197" s="598">
        <f>IFERROR(VLOOKUP(H197,PartyStorage,2, FALSE),0)</f>
        <v>0</v>
      </c>
      <c r="B197" s="895"/>
      <c r="C197" s="874"/>
      <c r="D197" s="893"/>
      <c r="E197" s="873" t="str">
        <f t="shared" si="1"/>
        <v/>
      </c>
      <c r="F197" s="874"/>
      <c r="G197" s="875"/>
      <c r="H197" s="891"/>
      <c r="I197" s="876"/>
      <c r="M197" s="378"/>
      <c r="N197" s="553">
        <f>IFERROR(VLOOKUP(G197,Ch8_Storage,2, FALSE),0)</f>
        <v>0</v>
      </c>
    </row>
    <row r="198" ht="18.75" customHeight="1">
      <c r="A198" s="598">
        <f>IFERROR(VLOOKUP(H198,PartyStorage,2, FALSE),0)</f>
        <v>0</v>
      </c>
      <c r="B198" s="896"/>
      <c r="C198" s="881"/>
      <c r="D198" s="894"/>
      <c r="E198" s="880" t="str">
        <f t="shared" si="1"/>
        <v/>
      </c>
      <c r="F198" s="881"/>
      <c r="G198" s="890"/>
      <c r="H198" s="883"/>
      <c r="I198" s="884"/>
      <c r="M198" s="885"/>
      <c r="N198" s="553">
        <f>IFERROR(VLOOKUP(G198,Ch8_Storage,2, FALSE),0)</f>
        <v>0</v>
      </c>
    </row>
    <row r="199" ht="18.75" customHeight="1">
      <c r="A199" s="598">
        <f>IFERROR(VLOOKUP(H199,PartyStorage,2, FALSE),0)</f>
        <v>0</v>
      </c>
      <c r="B199" s="895"/>
      <c r="C199" s="874"/>
      <c r="D199" s="893"/>
      <c r="E199" s="873" t="str">
        <f t="shared" si="1"/>
        <v/>
      </c>
      <c r="F199" s="874"/>
      <c r="G199" s="875"/>
      <c r="H199" s="891"/>
      <c r="I199" s="876"/>
      <c r="M199" s="378"/>
      <c r="N199" s="553">
        <f>IFERROR(VLOOKUP(G199,Ch8_Storage,2, FALSE),0)</f>
        <v>0</v>
      </c>
    </row>
    <row r="200" ht="18.75" customHeight="1">
      <c r="A200" s="598">
        <f>IFERROR(VLOOKUP(H200,PartyStorage,2, FALSE),0)</f>
        <v>0</v>
      </c>
      <c r="B200" s="896"/>
      <c r="C200" s="881"/>
      <c r="D200" s="894"/>
      <c r="E200" s="880" t="str">
        <f t="shared" si="1"/>
        <v/>
      </c>
      <c r="F200" s="881"/>
      <c r="G200" s="890"/>
      <c r="H200" s="883"/>
      <c r="I200" s="884"/>
      <c r="M200" s="885"/>
      <c r="N200" s="553">
        <f>IFERROR(VLOOKUP(G200,Ch8_Storage,2, FALSE),0)</f>
        <v>0</v>
      </c>
    </row>
    <row r="201" ht="18.75" customHeight="1">
      <c r="A201" s="598">
        <f>IFERROR(VLOOKUP(H201,PartyStorage,2, FALSE),0)</f>
        <v>0</v>
      </c>
      <c r="B201" s="895"/>
      <c r="C201" s="874"/>
      <c r="D201" s="893"/>
      <c r="E201" s="873" t="str">
        <f t="shared" si="1"/>
        <v/>
      </c>
      <c r="F201" s="874"/>
      <c r="G201" s="875"/>
      <c r="H201" s="891"/>
      <c r="I201" s="876"/>
      <c r="M201" s="378"/>
      <c r="N201" s="553">
        <f>IFERROR(VLOOKUP(G201,Ch8_Storage,2, FALSE),0)</f>
        <v>0</v>
      </c>
    </row>
    <row r="202" ht="18.75" customHeight="1">
      <c r="A202" s="598">
        <f>IFERROR(VLOOKUP(H202,PartyStorage,2, FALSE),0)</f>
        <v>0</v>
      </c>
      <c r="B202" s="896"/>
      <c r="C202" s="881"/>
      <c r="D202" s="894"/>
      <c r="E202" s="880" t="str">
        <f t="shared" si="1"/>
        <v/>
      </c>
      <c r="F202" s="881"/>
      <c r="G202" s="890"/>
      <c r="H202" s="883"/>
      <c r="I202" s="884"/>
      <c r="M202" s="885"/>
      <c r="N202" s="553">
        <f>IFERROR(VLOOKUP(G202,Ch8_Storage,2, FALSE),0)</f>
        <v>0</v>
      </c>
    </row>
    <row r="203" ht="18.75" customHeight="1">
      <c r="A203" s="598">
        <f>IFERROR(VLOOKUP(H203,PartyStorage,2, FALSE),0)</f>
        <v>0</v>
      </c>
      <c r="B203" s="895"/>
      <c r="C203" s="874"/>
      <c r="D203" s="893"/>
      <c r="E203" s="873" t="str">
        <f t="shared" si="1"/>
        <v/>
      </c>
      <c r="F203" s="874"/>
      <c r="G203" s="875"/>
      <c r="H203" s="891"/>
      <c r="I203" s="876"/>
      <c r="M203" s="378"/>
      <c r="N203" s="553">
        <f>IFERROR(VLOOKUP(G203,Ch8_Storage,2, FALSE),0)</f>
        <v>0</v>
      </c>
    </row>
    <row r="204" ht="18.75" customHeight="1">
      <c r="A204" s="598">
        <f>IFERROR(VLOOKUP(H204,PartyStorage,2, FALSE),0)</f>
        <v>0</v>
      </c>
      <c r="B204" s="896"/>
      <c r="C204" s="881"/>
      <c r="D204" s="894"/>
      <c r="E204" s="880" t="str">
        <f t="shared" si="1"/>
        <v/>
      </c>
      <c r="F204" s="881"/>
      <c r="G204" s="890"/>
      <c r="H204" s="883"/>
      <c r="I204" s="884"/>
      <c r="M204" s="885"/>
      <c r="N204" s="553">
        <f>IFERROR(VLOOKUP(G204,Ch8_Storage,2, FALSE),0)</f>
        <v>0</v>
      </c>
    </row>
    <row r="205" ht="18.75" customHeight="1">
      <c r="A205" s="598">
        <f>IFERROR(VLOOKUP(H205,PartyStorage,2, FALSE),0)</f>
        <v>0</v>
      </c>
      <c r="B205" s="895"/>
      <c r="C205" s="874"/>
      <c r="D205" s="893"/>
      <c r="E205" s="873" t="str">
        <f t="shared" si="1"/>
        <v/>
      </c>
      <c r="F205" s="874"/>
      <c r="G205" s="875"/>
      <c r="H205" s="891"/>
      <c r="I205" s="876"/>
      <c r="M205" s="378"/>
      <c r="N205" s="553">
        <f>IFERROR(VLOOKUP(G205,Ch8_Storage,2, FALSE),0)</f>
        <v>0</v>
      </c>
    </row>
    <row r="206" ht="18.75" customHeight="1">
      <c r="A206" s="598">
        <f>IFERROR(VLOOKUP(H206,PartyStorage,2, FALSE),0)</f>
        <v>0</v>
      </c>
      <c r="B206" s="896"/>
      <c r="C206" s="881"/>
      <c r="D206" s="894"/>
      <c r="E206" s="880" t="str">
        <f t="shared" si="1"/>
        <v/>
      </c>
      <c r="F206" s="881"/>
      <c r="G206" s="890"/>
      <c r="H206" s="883"/>
      <c r="I206" s="884"/>
      <c r="M206" s="885"/>
      <c r="N206" s="553">
        <f>IFERROR(VLOOKUP(G206,Ch8_Storage,2, FALSE),0)</f>
        <v>0</v>
      </c>
    </row>
    <row r="207" ht="18.75" customHeight="1">
      <c r="A207" s="598">
        <f>IFERROR(VLOOKUP(H207,PartyStorage,2, FALSE),0)</f>
        <v>0</v>
      </c>
      <c r="B207" s="895"/>
      <c r="C207" s="874"/>
      <c r="D207" s="893"/>
      <c r="E207" s="873" t="str">
        <f t="shared" si="1"/>
        <v/>
      </c>
      <c r="F207" s="874"/>
      <c r="G207" s="875"/>
      <c r="H207" s="891"/>
      <c r="I207" s="876"/>
      <c r="M207" s="378"/>
      <c r="N207" s="553">
        <f>IFERROR(VLOOKUP(G207,Ch8_Storage,2, FALSE),0)</f>
        <v>0</v>
      </c>
    </row>
    <row r="208" ht="18.75" customHeight="1">
      <c r="A208" s="598">
        <f>IFERROR(VLOOKUP(H208,PartyStorage,2, FALSE),0)</f>
        <v>0</v>
      </c>
      <c r="B208" s="897"/>
      <c r="C208" s="898"/>
      <c r="D208" s="899"/>
      <c r="E208" s="900" t="str">
        <f t="shared" si="1"/>
        <v/>
      </c>
      <c r="F208" s="898"/>
      <c r="G208" s="901"/>
      <c r="H208" s="902"/>
      <c r="I208" s="903"/>
      <c r="J208" s="904"/>
      <c r="K208" s="904"/>
      <c r="L208" s="904"/>
      <c r="M208" s="905"/>
      <c r="N208" s="553">
        <f>IFERROR(VLOOKUP(G208,Ch8_Storage,2, FALSE),0)</f>
        <v>0</v>
      </c>
    </row>
    <row r="209" ht="7.5" customHeight="1">
      <c r="A209" s="380"/>
      <c r="B209" s="261"/>
      <c r="C209" s="261"/>
      <c r="D209" s="261"/>
      <c r="E209" s="261"/>
      <c r="F209" s="261"/>
      <c r="G209" s="261"/>
      <c r="H209" s="261"/>
      <c r="I209" s="261"/>
      <c r="J209" s="261"/>
      <c r="K209" s="261"/>
      <c r="L209" s="261"/>
      <c r="M209" s="261"/>
      <c r="N209" s="553"/>
    </row>
  </sheetData>
  <mergeCells count="197">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93:M193"/>
    <mergeCell ref="I194:M194"/>
    <mergeCell ref="I195:M195"/>
    <mergeCell ref="I196:M196"/>
    <mergeCell ref="I197:M197"/>
    <mergeCell ref="I198:M198"/>
    <mergeCell ref="I199:M199"/>
    <mergeCell ref="I207:M207"/>
    <mergeCell ref="I208:M208"/>
    <mergeCell ref="I200:M200"/>
    <mergeCell ref="I201:M201"/>
    <mergeCell ref="I202:M202"/>
    <mergeCell ref="I203:M203"/>
    <mergeCell ref="I204:M204"/>
    <mergeCell ref="I205:M205"/>
    <mergeCell ref="I206:M206"/>
    <mergeCell ref="I144:M144"/>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15" priority="4">
      <formula>IF($N$2="",true,false)</formula>
    </cfRule>
  </conditionalFormatting>
  <conditionalFormatting sqref="K3:M7">
    <cfRule type="expression" dxfId="16" priority="5">
      <formula>IF($N$2="",true,false)</formula>
    </cfRule>
  </conditionalFormatting>
  <dataValidations>
    <dataValidation type="list" allowBlank="1" showErrorMessage="1" sqref="H27:H208">
      <formula1>PartyStorageSingle</formula1>
    </dataValidation>
    <dataValidation type="list" allowBlank="1" showInputMessage="1" showErrorMessage="1" prompt="Every item must have a PC or party storage location" sqref="G27:G208">
      <formula1>'Character Info'!$P$32:$P$41</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Ch4_Name</f>
        <v/>
      </c>
      <c r="B1" s="437"/>
      <c r="C1" s="438"/>
      <c r="D1" s="438"/>
      <c r="E1" s="248" t="s">
        <v>62</v>
      </c>
      <c r="F1" s="438"/>
      <c r="G1" s="439"/>
      <c r="H1" s="439"/>
      <c r="I1" s="440" t="s">
        <v>63</v>
      </c>
      <c r="J1" s="426"/>
      <c r="K1" s="439"/>
      <c r="L1" s="439"/>
      <c r="M1" s="439"/>
      <c r="N1" s="287"/>
      <c r="O1" s="439"/>
      <c r="P1" s="439"/>
      <c r="Q1" s="439"/>
      <c r="R1" s="439"/>
      <c r="S1" s="439"/>
      <c r="T1" s="439"/>
      <c r="U1" s="439"/>
      <c r="V1" s="439"/>
      <c r="W1" s="439"/>
      <c r="X1" s="439"/>
      <c r="Y1" s="439"/>
      <c r="Z1" s="439"/>
      <c r="AA1" s="439"/>
      <c r="AB1" s="439"/>
    </row>
    <row r="2" ht="18.75" customHeight="1">
      <c r="A2" s="906" t="str">
        <f>IF(ISBLANK(Ch4_Size),"",VLOOKUP(Ch4_Size,SizeMultipliers,2, FALSE))</f>
        <v/>
      </c>
      <c r="B2" s="907" t="s">
        <v>64</v>
      </c>
      <c r="C2" s="908"/>
      <c r="D2" s="909"/>
      <c r="E2" s="547" t="str">
        <f>IMAGE(E1,1)</f>
        <v/>
      </c>
      <c r="G2" s="910" t="s">
        <v>65</v>
      </c>
      <c r="H2" s="911"/>
      <c r="I2" s="446" t="str">
        <f>IMAGE(I1,1)</f>
        <v/>
      </c>
      <c r="K2" s="907" t="str">
        <f>IF(ISBLANK(Ch4_MountName),"Mount",Ch4_MountName)&amp;"'s Encumbrance"</f>
        <v>Mount's Encumbrance</v>
      </c>
      <c r="L2" s="132"/>
      <c r="M2" s="133"/>
      <c r="N2" s="394" t="str">
        <f>IF(ISBLANK(Ch4_MountSize),"",VLOOKUP(Ch4_MountSize,SizeMultipliers,2, FALSE))</f>
        <v/>
      </c>
    </row>
    <row r="3" ht="18.75" customHeight="1">
      <c r="A3" s="912"/>
      <c r="B3" s="352" t="s">
        <v>53</v>
      </c>
      <c r="C3" s="353"/>
      <c r="D3" s="913">
        <f>Ch4_Str*Ch4_SizeMultiplier*5</f>
        <v>0</v>
      </c>
      <c r="G3" s="914" t="s">
        <v>66</v>
      </c>
      <c r="H3" s="552"/>
      <c r="K3" s="352" t="s">
        <v>53</v>
      </c>
      <c r="L3" s="353"/>
      <c r="M3" s="913">
        <f>Ch4_MountStr*Ch4_MountSizeMult*5</f>
        <v>0</v>
      </c>
      <c r="N3" s="346"/>
    </row>
    <row r="4" ht="18.75" customHeight="1">
      <c r="A4" s="912"/>
      <c r="B4" s="915" t="s">
        <v>55</v>
      </c>
      <c r="C4" s="916"/>
      <c r="D4" s="917">
        <f>Ch4_Str*Ch4_SizeMultiplier*10</f>
        <v>0</v>
      </c>
      <c r="G4" s="918" t="s">
        <v>67</v>
      </c>
      <c r="H4" s="552">
        <f>(VLOOKUP(ADD(Ch4_Level,1),XPTable_v,2))-Ch4_XP</f>
        <v>300</v>
      </c>
      <c r="K4" s="915" t="s">
        <v>55</v>
      </c>
      <c r="L4" s="916"/>
      <c r="M4" s="917">
        <f>Ch4_MountStr*Ch4_MountSizeMult*10</f>
        <v>0</v>
      </c>
      <c r="N4" s="346"/>
    </row>
    <row r="5" ht="18.75" customHeight="1">
      <c r="A5" s="912"/>
      <c r="B5" s="352" t="s">
        <v>17</v>
      </c>
      <c r="C5" s="353"/>
      <c r="D5" s="913">
        <f>Ch4_Str*Ch4_SizeMultiplier*15</f>
        <v>0</v>
      </c>
      <c r="G5" s="919" t="s">
        <v>68</v>
      </c>
      <c r="H5" s="920">
        <f>MATCH(Ch4_XP,XPTable_m,2)</f>
        <v>1</v>
      </c>
      <c r="K5" s="352" t="s">
        <v>17</v>
      </c>
      <c r="L5" s="353"/>
      <c r="M5" s="913">
        <f>Ch4_MountStr*Ch4_MountSizeMult*15</f>
        <v>0</v>
      </c>
      <c r="N5" s="346"/>
    </row>
    <row r="6" ht="18.75" customHeight="1">
      <c r="A6" s="912"/>
      <c r="B6" s="915" t="s">
        <v>57</v>
      </c>
      <c r="C6" s="916"/>
      <c r="D6" s="917">
        <f>Ch4_Str*Ch4_SizeMultiplier*30</f>
        <v>0</v>
      </c>
      <c r="G6" s="17"/>
      <c r="H6" s="17"/>
      <c r="K6" s="915" t="s">
        <v>57</v>
      </c>
      <c r="L6" s="916"/>
      <c r="M6" s="917">
        <f>Ch4_MountStr*Ch4_MountSizeMult*30</f>
        <v>0</v>
      </c>
      <c r="N6" s="346"/>
    </row>
    <row r="7" ht="18.75" customHeight="1">
      <c r="A7" s="912"/>
      <c r="B7" s="457" t="s">
        <v>43</v>
      </c>
      <c r="C7" s="921"/>
      <c r="D7" s="922">
        <f t="array" ref="D7">SUMIF(Ch4_EquipStatus,"=On Character",Ch4_InventoryWeights)</f>
        <v>0</v>
      </c>
      <c r="G7" s="923" t="s">
        <v>30</v>
      </c>
      <c r="H7" s="461">
        <f>SUM(G11:G15,G19:G24)</f>
        <v>0</v>
      </c>
      <c r="K7" s="369" t="s">
        <v>43</v>
      </c>
      <c r="L7" s="921"/>
      <c r="M7" s="924">
        <f t="array" ref="M7">SUMIF(Ch4_EquipStatus,"=On Mount",Ch4_InventoryWeights)++IF( NOT(EQ(N2,"")),D7+Ch4_Weight,0)</f>
        <v>0</v>
      </c>
      <c r="N7" s="346"/>
    </row>
    <row r="8" ht="7.5" customHeight="1">
      <c r="A8" s="912"/>
      <c r="B8" s="463"/>
      <c r="C8" s="464"/>
      <c r="D8" s="465"/>
      <c r="E8" s="464"/>
      <c r="F8" s="464"/>
      <c r="G8" s="464"/>
      <c r="H8" s="464"/>
      <c r="I8" s="466"/>
      <c r="J8" s="467"/>
      <c r="K8" s="467"/>
      <c r="L8" s="467"/>
      <c r="M8" s="467"/>
      <c r="N8" s="346"/>
    </row>
    <row r="9" ht="18.75" customHeight="1">
      <c r="A9" s="912"/>
      <c r="B9" s="925" t="s">
        <v>28</v>
      </c>
      <c r="C9" s="926"/>
      <c r="D9" s="927" t="s">
        <v>29</v>
      </c>
      <c r="E9" s="928"/>
      <c r="F9" s="928"/>
      <c r="G9" s="928"/>
      <c r="H9" s="928"/>
      <c r="I9" s="929"/>
      <c r="J9" s="930"/>
      <c r="K9" s="930"/>
      <c r="L9" s="930"/>
      <c r="M9" s="931"/>
      <c r="N9" s="346"/>
    </row>
    <row r="10" ht="18.75" customHeight="1">
      <c r="A10" s="912"/>
      <c r="B10" s="932" t="s">
        <v>31</v>
      </c>
      <c r="C10" s="933" t="s">
        <v>11</v>
      </c>
      <c r="D10" s="933" t="s">
        <v>32</v>
      </c>
      <c r="E10" s="933" t="s">
        <v>33</v>
      </c>
      <c r="F10" s="933" t="s">
        <v>34</v>
      </c>
      <c r="G10" s="933" t="s">
        <v>35</v>
      </c>
      <c r="H10" s="933" t="s">
        <v>36</v>
      </c>
      <c r="I10" s="933" t="s">
        <v>37</v>
      </c>
      <c r="J10" s="933" t="s">
        <v>38</v>
      </c>
      <c r="K10" s="933" t="s">
        <v>39</v>
      </c>
      <c r="L10" s="933" t="s">
        <v>40</v>
      </c>
      <c r="M10" s="934" t="s">
        <v>41</v>
      </c>
      <c r="N10" s="447"/>
    </row>
    <row r="11" ht="18.75" customHeight="1">
      <c r="A11" s="912"/>
      <c r="B11" s="693"/>
      <c r="C11" s="935" t="s">
        <v>42</v>
      </c>
      <c r="D11" s="936" t="str">
        <f>B11</f>
        <v/>
      </c>
      <c r="E11" s="937">
        <f>B11/10</f>
        <v>0</v>
      </c>
      <c r="F11" s="937">
        <f>B11/50</f>
        <v>0</v>
      </c>
      <c r="G11" s="937">
        <f>B11/100</f>
        <v>0</v>
      </c>
      <c r="H11" s="937">
        <f>B11/1000</f>
        <v>0</v>
      </c>
      <c r="I11" s="938">
        <f>B11/5000</f>
        <v>0</v>
      </c>
      <c r="J11" s="939">
        <f>B11/10000</f>
        <v>0</v>
      </c>
      <c r="K11" s="939">
        <f>B11/50000</f>
        <v>0</v>
      </c>
      <c r="L11" s="939">
        <f>B11/100000</f>
        <v>0</v>
      </c>
      <c r="M11" s="940">
        <f>B11/500000</f>
        <v>0</v>
      </c>
      <c r="N11" s="346"/>
    </row>
    <row r="12" ht="18.75" customHeight="1">
      <c r="A12" s="912"/>
      <c r="B12" s="693"/>
      <c r="C12" s="935" t="s">
        <v>44</v>
      </c>
      <c r="D12" s="937">
        <f>B12*10</f>
        <v>0</v>
      </c>
      <c r="E12" s="936" t="str">
        <f>B12</f>
        <v/>
      </c>
      <c r="F12" s="937">
        <f>B12/5</f>
        <v>0</v>
      </c>
      <c r="G12" s="937">
        <f>B12/10</f>
        <v>0</v>
      </c>
      <c r="H12" s="937">
        <f>B12/100</f>
        <v>0</v>
      </c>
      <c r="I12" s="937">
        <f>B12/500</f>
        <v>0</v>
      </c>
      <c r="J12" s="937">
        <f>B12/1000</f>
        <v>0</v>
      </c>
      <c r="K12" s="937">
        <f>B12/5000</f>
        <v>0</v>
      </c>
      <c r="L12" s="937">
        <f>B12/10000</f>
        <v>0</v>
      </c>
      <c r="M12" s="941">
        <f>B12/50000</f>
        <v>0</v>
      </c>
      <c r="N12" s="346"/>
    </row>
    <row r="13" ht="18.75" customHeight="1">
      <c r="A13" s="912"/>
      <c r="B13" s="693"/>
      <c r="C13" s="935" t="s">
        <v>45</v>
      </c>
      <c r="D13" s="937">
        <f>B13*50</f>
        <v>0</v>
      </c>
      <c r="E13" s="937">
        <f>B13*5</f>
        <v>0</v>
      </c>
      <c r="F13" s="936" t="str">
        <f>B13</f>
        <v/>
      </c>
      <c r="G13" s="937">
        <f>B13/2</f>
        <v>0</v>
      </c>
      <c r="H13" s="937">
        <f>B13/20</f>
        <v>0</v>
      </c>
      <c r="I13" s="937">
        <f>B13/100</f>
        <v>0</v>
      </c>
      <c r="J13" s="939">
        <f>B13/200</f>
        <v>0</v>
      </c>
      <c r="K13" s="939">
        <f>B13/1000</f>
        <v>0</v>
      </c>
      <c r="L13" s="939">
        <f>B13/2000</f>
        <v>0</v>
      </c>
      <c r="M13" s="940">
        <f>B13/10000</f>
        <v>0</v>
      </c>
      <c r="N13" s="346"/>
    </row>
    <row r="14" ht="18.75" customHeight="1">
      <c r="A14" s="912"/>
      <c r="B14" s="693"/>
      <c r="C14" s="935" t="s">
        <v>46</v>
      </c>
      <c r="D14" s="937">
        <f>B14*100</f>
        <v>0</v>
      </c>
      <c r="E14" s="937">
        <f>B14*10</f>
        <v>0</v>
      </c>
      <c r="F14" s="937">
        <f>B14*2</f>
        <v>0</v>
      </c>
      <c r="G14" s="936" t="str">
        <f>B14</f>
        <v/>
      </c>
      <c r="H14" s="937">
        <f>B14/10</f>
        <v>0</v>
      </c>
      <c r="I14" s="937">
        <f>B14/50</f>
        <v>0</v>
      </c>
      <c r="J14" s="939">
        <f>B14/100</f>
        <v>0</v>
      </c>
      <c r="K14" s="939">
        <f>B14/500</f>
        <v>0</v>
      </c>
      <c r="L14" s="939">
        <f>B14/1000</f>
        <v>0</v>
      </c>
      <c r="M14" s="940">
        <f>B14/5000</f>
        <v>0</v>
      </c>
      <c r="N14" s="346"/>
    </row>
    <row r="15" ht="18.75" customHeight="1">
      <c r="A15" s="912"/>
      <c r="B15" s="701"/>
      <c r="C15" s="942" t="s">
        <v>47</v>
      </c>
      <c r="D15" s="943">
        <f>B15*1000</f>
        <v>0</v>
      </c>
      <c r="E15" s="943">
        <f>B15*100</f>
        <v>0</v>
      </c>
      <c r="F15" s="943">
        <f>B15*20</f>
        <v>0</v>
      </c>
      <c r="G15" s="943">
        <f>B15*10</f>
        <v>0</v>
      </c>
      <c r="H15" s="943">
        <f>B15*1</f>
        <v>0</v>
      </c>
      <c r="I15" s="943">
        <f>B15/5</f>
        <v>0</v>
      </c>
      <c r="J15" s="944">
        <f>B15/10</f>
        <v>0</v>
      </c>
      <c r="K15" s="944">
        <f>B15/50</f>
        <v>0</v>
      </c>
      <c r="L15" s="944">
        <f>B15/100</f>
        <v>0</v>
      </c>
      <c r="M15" s="945">
        <f>B15/500</f>
        <v>0</v>
      </c>
      <c r="N15" s="346"/>
    </row>
    <row r="16" ht="7.5" customHeight="1">
      <c r="A16" s="912"/>
      <c r="B16" s="338"/>
      <c r="C16" s="339"/>
      <c r="D16" s="339"/>
      <c r="E16" s="339"/>
      <c r="F16" s="339"/>
      <c r="G16" s="339"/>
      <c r="H16" s="339"/>
      <c r="I16" s="339"/>
      <c r="J16" s="340"/>
      <c r="K16" s="340"/>
      <c r="L16" s="340"/>
      <c r="M16" s="340"/>
      <c r="N16" s="341"/>
      <c r="O16" s="114"/>
      <c r="P16" s="114"/>
      <c r="Q16" s="114"/>
      <c r="R16" s="114"/>
      <c r="S16" s="114"/>
      <c r="T16" s="114"/>
      <c r="U16" s="114"/>
      <c r="V16" s="114"/>
      <c r="W16" s="114"/>
      <c r="X16" s="114"/>
      <c r="Y16" s="114"/>
      <c r="Z16" s="114"/>
      <c r="AA16" s="114"/>
      <c r="AB16" s="114"/>
    </row>
    <row r="17" ht="18.75" customHeight="1">
      <c r="A17" s="912"/>
      <c r="B17" s="925" t="s">
        <v>48</v>
      </c>
      <c r="C17" s="928"/>
      <c r="D17" s="927" t="s">
        <v>29</v>
      </c>
      <c r="E17" s="928"/>
      <c r="F17" s="928"/>
      <c r="G17" s="928"/>
      <c r="H17" s="928"/>
      <c r="I17" s="928"/>
      <c r="J17" s="930"/>
      <c r="K17" s="930"/>
      <c r="L17" s="930"/>
      <c r="M17" s="931"/>
      <c r="N17" s="346"/>
    </row>
    <row r="18" ht="18.75" customHeight="1">
      <c r="A18" s="912"/>
      <c r="B18" s="932" t="s">
        <v>31</v>
      </c>
      <c r="C18" s="933" t="s">
        <v>11</v>
      </c>
      <c r="D18" s="933" t="s">
        <v>32</v>
      </c>
      <c r="E18" s="933" t="s">
        <v>33</v>
      </c>
      <c r="F18" s="933" t="s">
        <v>34</v>
      </c>
      <c r="G18" s="933" t="s">
        <v>35</v>
      </c>
      <c r="H18" s="933" t="s">
        <v>36</v>
      </c>
      <c r="I18" s="933" t="s">
        <v>37</v>
      </c>
      <c r="J18" s="933" t="s">
        <v>38</v>
      </c>
      <c r="K18" s="933" t="s">
        <v>39</v>
      </c>
      <c r="L18" s="933" t="s">
        <v>40</v>
      </c>
      <c r="M18" s="934" t="s">
        <v>41</v>
      </c>
      <c r="N18" s="346"/>
    </row>
    <row r="19" ht="18.75" customHeight="1">
      <c r="A19" s="912"/>
      <c r="B19" s="946"/>
      <c r="C19" s="935" t="s">
        <v>49</v>
      </c>
      <c r="D19" s="937">
        <f>B19*1000</f>
        <v>0</v>
      </c>
      <c r="E19" s="937">
        <f>B19*100</f>
        <v>0</v>
      </c>
      <c r="F19" s="937">
        <f>B19*20</f>
        <v>0</v>
      </c>
      <c r="G19" s="937">
        <f>B19*10</f>
        <v>0</v>
      </c>
      <c r="H19" s="937">
        <f>B19*1</f>
        <v>0</v>
      </c>
      <c r="I19" s="937">
        <f>B19/5</f>
        <v>0</v>
      </c>
      <c r="J19" s="939">
        <f>B19/10</f>
        <v>0</v>
      </c>
      <c r="K19" s="939">
        <f>B19/50</f>
        <v>0</v>
      </c>
      <c r="L19" s="939">
        <f>B19/100</f>
        <v>0</v>
      </c>
      <c r="M19" s="940">
        <f>B19/500</f>
        <v>0</v>
      </c>
      <c r="N19" s="346"/>
    </row>
    <row r="20" ht="18.75" customHeight="1">
      <c r="A20" s="912"/>
      <c r="B20" s="946"/>
      <c r="C20" s="935" t="s">
        <v>50</v>
      </c>
      <c r="D20" s="937">
        <f>B20*5000</f>
        <v>0</v>
      </c>
      <c r="E20" s="937">
        <f>B20*500</f>
        <v>0</v>
      </c>
      <c r="F20" s="937">
        <f>B20*100</f>
        <v>0</v>
      </c>
      <c r="G20" s="937">
        <f>B20*50</f>
        <v>0</v>
      </c>
      <c r="H20" s="937">
        <f>B20*5</f>
        <v>0</v>
      </c>
      <c r="I20" s="936" t="str">
        <f>B20</f>
        <v/>
      </c>
      <c r="J20" s="939">
        <f>B20/2</f>
        <v>0</v>
      </c>
      <c r="K20" s="939">
        <f>B20/10</f>
        <v>0</v>
      </c>
      <c r="L20" s="939">
        <f>B20/20</f>
        <v>0</v>
      </c>
      <c r="M20" s="940">
        <f>B20/100</f>
        <v>0</v>
      </c>
      <c r="N20" s="346"/>
    </row>
    <row r="21" ht="18.75" customHeight="1">
      <c r="A21" s="912"/>
      <c r="B21" s="946"/>
      <c r="C21" s="935" t="s">
        <v>51</v>
      </c>
      <c r="D21" s="937">
        <f>B21*10000</f>
        <v>0</v>
      </c>
      <c r="E21" s="937">
        <f>B21*1000</f>
        <v>0</v>
      </c>
      <c r="F21" s="937">
        <f>B21*200</f>
        <v>0</v>
      </c>
      <c r="G21" s="937">
        <f>B21*100</f>
        <v>0</v>
      </c>
      <c r="H21" s="937">
        <f>B21*10</f>
        <v>0</v>
      </c>
      <c r="I21" s="937">
        <f>B21/5*10</f>
        <v>0</v>
      </c>
      <c r="J21" s="947" t="str">
        <f>B21</f>
        <v/>
      </c>
      <c r="K21" s="939">
        <f>B21/5</f>
        <v>0</v>
      </c>
      <c r="L21" s="939">
        <f>B21/10</f>
        <v>0</v>
      </c>
      <c r="M21" s="940">
        <f>B21/50</f>
        <v>0</v>
      </c>
      <c r="N21" s="346"/>
    </row>
    <row r="22" ht="18.75" customHeight="1">
      <c r="A22" s="912"/>
      <c r="B22" s="946"/>
      <c r="C22" s="935" t="s">
        <v>52</v>
      </c>
      <c r="D22" s="937">
        <f>B22*50000</f>
        <v>0</v>
      </c>
      <c r="E22" s="937">
        <f>B22*5000</f>
        <v>0</v>
      </c>
      <c r="F22" s="937">
        <f>B22*1000</f>
        <v>0</v>
      </c>
      <c r="G22" s="937">
        <f>B22*500</f>
        <v>0</v>
      </c>
      <c r="H22" s="937">
        <f>B22*50</f>
        <v>0</v>
      </c>
      <c r="I22" s="937">
        <f>B22*10</f>
        <v>0</v>
      </c>
      <c r="J22" s="939">
        <f>B22/2*10</f>
        <v>0</v>
      </c>
      <c r="K22" s="947" t="str">
        <f>B22</f>
        <v/>
      </c>
      <c r="L22" s="939">
        <f>B22/2</f>
        <v>0</v>
      </c>
      <c r="M22" s="940">
        <f>B22/10</f>
        <v>0</v>
      </c>
      <c r="N22" s="346"/>
    </row>
    <row r="23" ht="18.75" customHeight="1">
      <c r="A23" s="912"/>
      <c r="B23" s="946"/>
      <c r="C23" s="935" t="s">
        <v>54</v>
      </c>
      <c r="D23" s="937">
        <f>B23*100000</f>
        <v>0</v>
      </c>
      <c r="E23" s="937">
        <f>B23*10000</f>
        <v>0</v>
      </c>
      <c r="F23" s="937">
        <f>B23*2000</f>
        <v>0</v>
      </c>
      <c r="G23" s="937">
        <f>B23*1000</f>
        <v>0</v>
      </c>
      <c r="H23" s="937">
        <f>B23*100</f>
        <v>0</v>
      </c>
      <c r="I23" s="937">
        <f>B23/5*100</f>
        <v>0</v>
      </c>
      <c r="J23" s="939">
        <f>B23*10</f>
        <v>0</v>
      </c>
      <c r="K23" s="939">
        <f>B23/5*10</f>
        <v>0</v>
      </c>
      <c r="L23" s="947" t="str">
        <f>B23</f>
        <v/>
      </c>
      <c r="M23" s="940">
        <f>B23/5</f>
        <v>0</v>
      </c>
      <c r="N23" s="346"/>
    </row>
    <row r="24" ht="18.75" customHeight="1">
      <c r="A24" s="912"/>
      <c r="B24" s="948">
        <v>0.0</v>
      </c>
      <c r="C24" s="942" t="s">
        <v>56</v>
      </c>
      <c r="D24" s="943">
        <f>B24*500000</f>
        <v>0</v>
      </c>
      <c r="E24" s="943">
        <f>B24*50000</f>
        <v>0</v>
      </c>
      <c r="F24" s="943">
        <f>B24*10000</f>
        <v>0</v>
      </c>
      <c r="G24" s="943">
        <f>B24*5000</f>
        <v>0</v>
      </c>
      <c r="H24" s="943">
        <f>B24*500</f>
        <v>0</v>
      </c>
      <c r="I24" s="943">
        <f>B24*100</f>
        <v>0</v>
      </c>
      <c r="J24" s="944">
        <f>B24/2*100</f>
        <v>0</v>
      </c>
      <c r="K24" s="944">
        <f>B24*10</f>
        <v>0</v>
      </c>
      <c r="L24" s="944">
        <f>B24/2*10</f>
        <v>0</v>
      </c>
      <c r="M24" s="949">
        <f>B24</f>
        <v>0</v>
      </c>
      <c r="N24" s="346"/>
    </row>
    <row r="25" ht="7.5" customHeight="1">
      <c r="A25" s="912"/>
      <c r="B25" s="364"/>
      <c r="C25" s="13"/>
      <c r="D25" s="13"/>
      <c r="E25" s="13"/>
      <c r="F25" s="13"/>
      <c r="G25" s="13"/>
      <c r="H25" s="13"/>
      <c r="I25" s="13"/>
      <c r="J25" s="261"/>
      <c r="K25" s="261"/>
      <c r="L25" s="261"/>
      <c r="M25" s="261"/>
      <c r="N25" s="346"/>
    </row>
    <row r="26" ht="18.75" customHeight="1">
      <c r="A26" s="912"/>
      <c r="B26" s="950" t="s">
        <v>31</v>
      </c>
      <c r="C26" s="951" t="s">
        <v>58</v>
      </c>
      <c r="D26" s="951" t="s">
        <v>59</v>
      </c>
      <c r="E26" s="951" t="s">
        <v>60</v>
      </c>
      <c r="F26" s="951" t="s">
        <v>61</v>
      </c>
      <c r="G26" s="951" t="s">
        <v>69</v>
      </c>
      <c r="H26" s="952" t="s">
        <v>73</v>
      </c>
      <c r="I26" s="953" t="s">
        <v>71</v>
      </c>
      <c r="J26" s="132"/>
      <c r="K26" s="132"/>
      <c r="L26" s="132"/>
      <c r="M26" s="133"/>
      <c r="N26" s="368"/>
    </row>
    <row r="27" ht="18.75" customHeight="1">
      <c r="A27" s="507">
        <f>IFERROR(VLOOKUP(H27,PartyStorage,2, FALSE),0)</f>
        <v>0</v>
      </c>
      <c r="B27" s="712">
        <f>sum(Ch4_Money)</f>
        <v>0</v>
      </c>
      <c r="C27" s="485" t="s">
        <v>28</v>
      </c>
      <c r="D27" s="509">
        <v>0.02</v>
      </c>
      <c r="E27" s="954">
        <f t="shared" ref="E27:E208" si="1">IF(ISBLANK(C27),"",IF(ISBLANK(B27),D27,D27*B27))</f>
        <v>0</v>
      </c>
      <c r="F27" s="955"/>
      <c r="G27" s="510"/>
      <c r="H27" s="956"/>
      <c r="I27" s="957"/>
      <c r="M27" s="378"/>
      <c r="N27" s="346">
        <f>IFERROR(VLOOKUP(G27,Ch4_Storage,2, FALSE),0)</f>
        <v>0</v>
      </c>
    </row>
    <row r="28" ht="18.75" customHeight="1">
      <c r="A28" s="507">
        <f>IFERROR(VLOOKUP(H28,PartyStorage,2, FALSE),0)</f>
        <v>0</v>
      </c>
      <c r="B28" s="958">
        <f>sum(Ch4_Gems)</f>
        <v>0</v>
      </c>
      <c r="C28" s="959" t="s">
        <v>48</v>
      </c>
      <c r="D28" s="960">
        <v>0.02</v>
      </c>
      <c r="E28" s="961">
        <f t="shared" si="1"/>
        <v>0</v>
      </c>
      <c r="F28" s="962"/>
      <c r="G28" s="963"/>
      <c r="H28" s="964"/>
      <c r="I28" s="965"/>
      <c r="M28" s="966"/>
      <c r="N28" s="346">
        <f>IFERROR(VLOOKUP(G28,Ch4_Storage,2, FALSE),0)</f>
        <v>0</v>
      </c>
    </row>
    <row r="29" ht="18.75" customHeight="1">
      <c r="A29" s="507">
        <f>IFERROR(VLOOKUP(H29,PartyStorage,2, FALSE),0)</f>
        <v>0</v>
      </c>
      <c r="B29" s="967"/>
      <c r="C29" s="968"/>
      <c r="D29" s="954"/>
      <c r="E29" s="954" t="str">
        <f t="shared" si="1"/>
        <v/>
      </c>
      <c r="F29" s="955"/>
      <c r="G29" s="956"/>
      <c r="H29" s="956"/>
      <c r="I29" s="957"/>
      <c r="M29" s="378"/>
      <c r="N29" s="346">
        <f>IFERROR(VLOOKUP(G29,Ch4_Storage,2, FALSE),0)</f>
        <v>0</v>
      </c>
    </row>
    <row r="30" ht="18.75" customHeight="1">
      <c r="A30" s="507">
        <f>IFERROR(VLOOKUP(H30,PartyStorage,2, FALSE),0)</f>
        <v>0</v>
      </c>
      <c r="B30" s="969"/>
      <c r="C30" s="970"/>
      <c r="D30" s="961"/>
      <c r="E30" s="961" t="str">
        <f t="shared" si="1"/>
        <v/>
      </c>
      <c r="F30" s="962"/>
      <c r="G30" s="964"/>
      <c r="H30" s="971"/>
      <c r="I30" s="965"/>
      <c r="M30" s="966"/>
      <c r="N30" s="346">
        <f>IFERROR(VLOOKUP(G30,Ch4_Storage,2, FALSE),0)</f>
        <v>0</v>
      </c>
    </row>
    <row r="31" ht="18.75" customHeight="1">
      <c r="A31" s="507">
        <f>IFERROR(VLOOKUP(H31,PartyStorage,2, FALSE),0)</f>
        <v>0</v>
      </c>
      <c r="B31" s="967"/>
      <c r="C31" s="968"/>
      <c r="D31" s="954"/>
      <c r="E31" s="954" t="str">
        <f t="shared" si="1"/>
        <v/>
      </c>
      <c r="F31" s="955"/>
      <c r="G31" s="956"/>
      <c r="H31" s="956"/>
      <c r="I31" s="957"/>
      <c r="M31" s="378"/>
      <c r="N31" s="346">
        <f>IFERROR(VLOOKUP(G31,Ch4_Storage,2, FALSE),0)</f>
        <v>0</v>
      </c>
    </row>
    <row r="32" ht="18.75" customHeight="1">
      <c r="A32" s="507">
        <f>IFERROR(VLOOKUP(H32,PartyStorage,2, FALSE),0)</f>
        <v>0</v>
      </c>
      <c r="B32" s="972"/>
      <c r="C32" s="973"/>
      <c r="D32" s="961"/>
      <c r="E32" s="961" t="str">
        <f t="shared" si="1"/>
        <v/>
      </c>
      <c r="F32" s="962"/>
      <c r="G32" s="964"/>
      <c r="H32" s="964"/>
      <c r="I32" s="965"/>
      <c r="M32" s="966"/>
      <c r="N32" s="346">
        <f>IFERROR(VLOOKUP(G32,Ch4_Storage,2, FALSE),0)</f>
        <v>0</v>
      </c>
    </row>
    <row r="33" ht="18.75" customHeight="1">
      <c r="A33" s="507">
        <f>IFERROR(VLOOKUP(H33,PartyStorage,2, FALSE),0)</f>
        <v>0</v>
      </c>
      <c r="B33" s="967"/>
      <c r="C33" s="968"/>
      <c r="D33" s="954"/>
      <c r="E33" s="954" t="str">
        <f t="shared" si="1"/>
        <v/>
      </c>
      <c r="F33" s="955"/>
      <c r="G33" s="956"/>
      <c r="H33" s="956"/>
      <c r="I33" s="957"/>
      <c r="M33" s="378"/>
      <c r="N33" s="346">
        <f>IFERROR(VLOOKUP(G33,Ch4_Storage,2, FALSE),0)</f>
        <v>0</v>
      </c>
    </row>
    <row r="34" ht="18.75" customHeight="1">
      <c r="A34" s="507">
        <f>IFERROR(VLOOKUP(H34,PartyStorage,2, FALSE),0)</f>
        <v>0</v>
      </c>
      <c r="B34" s="972"/>
      <c r="C34" s="973"/>
      <c r="D34" s="961"/>
      <c r="E34" s="961" t="str">
        <f t="shared" si="1"/>
        <v/>
      </c>
      <c r="F34" s="962"/>
      <c r="G34" s="964"/>
      <c r="H34" s="964"/>
      <c r="I34" s="965"/>
      <c r="M34" s="966"/>
      <c r="N34" s="346">
        <f>IFERROR(VLOOKUP(G34,Ch4_Storage,2, FALSE),0)</f>
        <v>0</v>
      </c>
    </row>
    <row r="35" ht="18.75" customHeight="1">
      <c r="A35" s="507">
        <f>IFERROR(VLOOKUP(H35,PartyStorage,2, FALSE),0)</f>
        <v>0</v>
      </c>
      <c r="B35" s="967"/>
      <c r="C35" s="968"/>
      <c r="D35" s="954"/>
      <c r="E35" s="954" t="str">
        <f t="shared" si="1"/>
        <v/>
      </c>
      <c r="F35" s="955"/>
      <c r="G35" s="956"/>
      <c r="H35" s="956"/>
      <c r="I35" s="957"/>
      <c r="M35" s="378"/>
      <c r="N35" s="346">
        <f>IFERROR(VLOOKUP(G35,Ch4_Storage,2, FALSE),0)</f>
        <v>0</v>
      </c>
    </row>
    <row r="36" ht="18.75" customHeight="1">
      <c r="A36" s="507">
        <f>IFERROR(VLOOKUP(H36,PartyStorage,2, FALSE),0)</f>
        <v>0</v>
      </c>
      <c r="B36" s="972"/>
      <c r="C36" s="973"/>
      <c r="D36" s="961"/>
      <c r="E36" s="961" t="str">
        <f t="shared" si="1"/>
        <v/>
      </c>
      <c r="F36" s="962"/>
      <c r="G36" s="964"/>
      <c r="H36" s="964"/>
      <c r="I36" s="965"/>
      <c r="M36" s="966"/>
      <c r="N36" s="346">
        <f>IFERROR(VLOOKUP(G36,Ch4_Storage,2, FALSE),0)</f>
        <v>0</v>
      </c>
    </row>
    <row r="37" ht="18.75" customHeight="1">
      <c r="A37" s="507">
        <f>IFERROR(VLOOKUP(H37,PartyStorage,2, FALSE),0)</f>
        <v>0</v>
      </c>
      <c r="B37" s="967"/>
      <c r="C37" s="968"/>
      <c r="D37" s="954"/>
      <c r="E37" s="954" t="str">
        <f t="shared" si="1"/>
        <v/>
      </c>
      <c r="F37" s="955"/>
      <c r="G37" s="956"/>
      <c r="H37" s="956"/>
      <c r="I37" s="957"/>
      <c r="M37" s="378"/>
      <c r="N37" s="346">
        <f>IFERROR(VLOOKUP(G37,Ch4_Storage,2, FALSE),0)</f>
        <v>0</v>
      </c>
    </row>
    <row r="38" ht="18.75" customHeight="1">
      <c r="A38" s="507">
        <f>IFERROR(VLOOKUP(H38,PartyStorage,2, FALSE),0)</f>
        <v>0</v>
      </c>
      <c r="B38" s="972"/>
      <c r="C38" s="973"/>
      <c r="D38" s="961"/>
      <c r="E38" s="961" t="str">
        <f t="shared" si="1"/>
        <v/>
      </c>
      <c r="F38" s="962"/>
      <c r="G38" s="964"/>
      <c r="H38" s="964"/>
      <c r="I38" s="965"/>
      <c r="M38" s="966"/>
      <c r="N38" s="346">
        <f>IFERROR(VLOOKUP(G38,Ch4_Storage,2, FALSE),0)</f>
        <v>0</v>
      </c>
    </row>
    <row r="39" ht="18.75" customHeight="1">
      <c r="A39" s="507">
        <f>IFERROR(VLOOKUP(H39,PartyStorage,2, FALSE),0)</f>
        <v>0</v>
      </c>
      <c r="B39" s="967"/>
      <c r="C39" s="968"/>
      <c r="D39" s="954"/>
      <c r="E39" s="954" t="str">
        <f t="shared" si="1"/>
        <v/>
      </c>
      <c r="F39" s="955"/>
      <c r="G39" s="956"/>
      <c r="H39" s="956"/>
      <c r="I39" s="957"/>
      <c r="M39" s="378"/>
      <c r="N39" s="346">
        <f>IFERROR(VLOOKUP(G39,Ch4_Storage,2, FALSE),0)</f>
        <v>0</v>
      </c>
    </row>
    <row r="40" ht="18.75" customHeight="1">
      <c r="A40" s="507">
        <f>IFERROR(VLOOKUP(H40,PartyStorage,2, FALSE),0)</f>
        <v>0</v>
      </c>
      <c r="B40" s="972"/>
      <c r="C40" s="973"/>
      <c r="D40" s="961"/>
      <c r="E40" s="961" t="str">
        <f t="shared" si="1"/>
        <v/>
      </c>
      <c r="F40" s="962"/>
      <c r="G40" s="964"/>
      <c r="H40" s="964"/>
      <c r="I40" s="965"/>
      <c r="M40" s="966"/>
      <c r="N40" s="346">
        <f>IFERROR(VLOOKUP(G40,Ch4_Storage,2, FALSE),0)</f>
        <v>0</v>
      </c>
    </row>
    <row r="41" ht="18.75" customHeight="1">
      <c r="A41" s="507">
        <f>IFERROR(VLOOKUP(H41,PartyStorage,2, FALSE),0)</f>
        <v>0</v>
      </c>
      <c r="B41" s="967"/>
      <c r="C41" s="968"/>
      <c r="D41" s="954"/>
      <c r="E41" s="954" t="str">
        <f t="shared" si="1"/>
        <v/>
      </c>
      <c r="F41" s="955"/>
      <c r="G41" s="956"/>
      <c r="H41" s="956"/>
      <c r="I41" s="957"/>
      <c r="M41" s="378"/>
      <c r="N41" s="346">
        <f>IFERROR(VLOOKUP(G41,Ch4_Storage,2, FALSE),0)</f>
        <v>0</v>
      </c>
    </row>
    <row r="42" ht="18.75" customHeight="1">
      <c r="A42" s="507">
        <f>IFERROR(VLOOKUP(H42,PartyStorage,2, FALSE),0)</f>
        <v>0</v>
      </c>
      <c r="B42" s="969"/>
      <c r="C42" s="970"/>
      <c r="D42" s="974"/>
      <c r="E42" s="961" t="str">
        <f t="shared" si="1"/>
        <v/>
      </c>
      <c r="F42" s="973"/>
      <c r="G42" s="964"/>
      <c r="H42" s="964"/>
      <c r="I42" s="965"/>
      <c r="M42" s="966"/>
      <c r="N42" s="346">
        <f>IFERROR(VLOOKUP(G42,Ch4_Storage,2, FALSE),0)</f>
        <v>0</v>
      </c>
    </row>
    <row r="43" ht="18.75" customHeight="1">
      <c r="A43" s="507">
        <f>IFERROR(VLOOKUP(H43,PartyStorage,2, FALSE),0)</f>
        <v>0</v>
      </c>
      <c r="B43" s="967"/>
      <c r="C43" s="968"/>
      <c r="D43" s="954"/>
      <c r="E43" s="954" t="str">
        <f t="shared" si="1"/>
        <v/>
      </c>
      <c r="F43" s="955"/>
      <c r="G43" s="956"/>
      <c r="H43" s="956"/>
      <c r="I43" s="957"/>
      <c r="M43" s="378"/>
      <c r="N43" s="346">
        <f>IFERROR(VLOOKUP(G43,Ch4_Storage,2, FALSE),0)</f>
        <v>0</v>
      </c>
    </row>
    <row r="44" ht="18.75" customHeight="1">
      <c r="A44" s="507">
        <f>IFERROR(VLOOKUP(H44,PartyStorage,2, FALSE),0)</f>
        <v>0</v>
      </c>
      <c r="B44" s="972"/>
      <c r="C44" s="973"/>
      <c r="D44" s="974"/>
      <c r="E44" s="961" t="str">
        <f t="shared" si="1"/>
        <v/>
      </c>
      <c r="F44" s="962"/>
      <c r="G44" s="964"/>
      <c r="H44" s="971"/>
      <c r="I44" s="965"/>
      <c r="M44" s="966"/>
      <c r="N44" s="346">
        <f>IFERROR(VLOOKUP(G44,Ch4_Storage,2, FALSE),0)</f>
        <v>0</v>
      </c>
    </row>
    <row r="45" ht="18.75" customHeight="1">
      <c r="A45" s="507">
        <f>IFERROR(VLOOKUP(H45,PartyStorage,2, FALSE),0)</f>
        <v>0</v>
      </c>
      <c r="B45" s="967"/>
      <c r="C45" s="968"/>
      <c r="D45" s="954"/>
      <c r="E45" s="954" t="str">
        <f t="shared" si="1"/>
        <v/>
      </c>
      <c r="F45" s="955"/>
      <c r="G45" s="956"/>
      <c r="H45" s="956"/>
      <c r="I45" s="957"/>
      <c r="M45" s="378"/>
      <c r="N45" s="346">
        <f>IFERROR(VLOOKUP(G45,Ch4_Storage,2, FALSE),0)</f>
        <v>0</v>
      </c>
    </row>
    <row r="46" ht="18.75" customHeight="1">
      <c r="A46" s="507">
        <f>IFERROR(VLOOKUP(H46,PartyStorage,2, FALSE),0)</f>
        <v>0</v>
      </c>
      <c r="B46" s="972"/>
      <c r="C46" s="973"/>
      <c r="D46" s="974"/>
      <c r="E46" s="961" t="str">
        <f t="shared" si="1"/>
        <v/>
      </c>
      <c r="F46" s="962"/>
      <c r="G46" s="964"/>
      <c r="H46" s="964"/>
      <c r="I46" s="965"/>
      <c r="M46" s="966"/>
      <c r="N46" s="346">
        <f>IFERROR(VLOOKUP(G46,Ch4_Storage,2, FALSE),0)</f>
        <v>0</v>
      </c>
    </row>
    <row r="47" ht="18.75" customHeight="1">
      <c r="A47" s="507">
        <f>IFERROR(VLOOKUP(H47,PartyStorage,2, FALSE),0)</f>
        <v>0</v>
      </c>
      <c r="B47" s="967"/>
      <c r="C47" s="968"/>
      <c r="D47" s="975"/>
      <c r="E47" s="954" t="str">
        <f t="shared" si="1"/>
        <v/>
      </c>
      <c r="F47" s="955"/>
      <c r="G47" s="956"/>
      <c r="H47" s="956"/>
      <c r="I47" s="957"/>
      <c r="M47" s="378"/>
      <c r="N47" s="346">
        <f>IFERROR(VLOOKUP(G47,Ch4_Storage,2, FALSE),0)</f>
        <v>0</v>
      </c>
    </row>
    <row r="48" ht="18.75" customHeight="1">
      <c r="A48" s="507">
        <f>IFERROR(VLOOKUP(H48,PartyStorage,2, FALSE),0)</f>
        <v>0</v>
      </c>
      <c r="B48" s="972"/>
      <c r="C48" s="973"/>
      <c r="D48" s="961"/>
      <c r="E48" s="961" t="str">
        <f t="shared" si="1"/>
        <v/>
      </c>
      <c r="F48" s="962"/>
      <c r="G48" s="964"/>
      <c r="H48" s="971"/>
      <c r="I48" s="965"/>
      <c r="M48" s="966"/>
      <c r="N48" s="346">
        <f>IFERROR(VLOOKUP(G48,Ch4_Storage,2, FALSE),0)</f>
        <v>0</v>
      </c>
    </row>
    <row r="49" ht="18.75" customHeight="1">
      <c r="A49" s="507">
        <f>IFERROR(VLOOKUP(H49,PartyStorage,2, FALSE),0)</f>
        <v>0</v>
      </c>
      <c r="B49" s="967"/>
      <c r="C49" s="968"/>
      <c r="D49" s="954"/>
      <c r="E49" s="954" t="str">
        <f t="shared" si="1"/>
        <v/>
      </c>
      <c r="F49" s="955"/>
      <c r="G49" s="956"/>
      <c r="H49" s="956"/>
      <c r="I49" s="957"/>
      <c r="M49" s="378"/>
      <c r="N49" s="346">
        <f>IFERROR(VLOOKUP(G49,Ch4_Storage,2, FALSE),0)</f>
        <v>0</v>
      </c>
    </row>
    <row r="50" ht="18.75" customHeight="1">
      <c r="A50" s="507">
        <f>IFERROR(VLOOKUP(H50,PartyStorage,2, FALSE),0)</f>
        <v>0</v>
      </c>
      <c r="B50" s="976"/>
      <c r="C50" s="977"/>
      <c r="D50" s="961"/>
      <c r="E50" s="961" t="str">
        <f t="shared" si="1"/>
        <v/>
      </c>
      <c r="F50" s="962"/>
      <c r="G50" s="964"/>
      <c r="H50" s="964"/>
      <c r="I50" s="965"/>
      <c r="M50" s="966"/>
      <c r="N50" s="346">
        <f>IFERROR(VLOOKUP(G50,Ch4_Storage,2, FALSE),0)</f>
        <v>0</v>
      </c>
    </row>
    <row r="51" ht="18.75" customHeight="1">
      <c r="A51" s="507">
        <f>IFERROR(VLOOKUP(H51,PartyStorage,2, FALSE),0)</f>
        <v>0</v>
      </c>
      <c r="B51" s="967"/>
      <c r="C51" s="968"/>
      <c r="D51" s="954"/>
      <c r="E51" s="954" t="str">
        <f t="shared" si="1"/>
        <v/>
      </c>
      <c r="F51" s="955"/>
      <c r="G51" s="956"/>
      <c r="H51" s="978"/>
      <c r="I51" s="957"/>
      <c r="M51" s="378"/>
      <c r="N51" s="346">
        <f>IFERROR(VLOOKUP(G51,Ch4_Storage,2, FALSE),0)</f>
        <v>0</v>
      </c>
    </row>
    <row r="52" ht="18.75" customHeight="1">
      <c r="A52" s="507">
        <f>IFERROR(VLOOKUP(H52,PartyStorage,2, FALSE),0)</f>
        <v>0</v>
      </c>
      <c r="B52" s="972"/>
      <c r="C52" s="973"/>
      <c r="D52" s="961"/>
      <c r="E52" s="961" t="str">
        <f t="shared" si="1"/>
        <v/>
      </c>
      <c r="F52" s="962"/>
      <c r="G52" s="964"/>
      <c r="H52" s="964"/>
      <c r="I52" s="979"/>
      <c r="M52" s="966"/>
      <c r="N52" s="346">
        <f>IFERROR(VLOOKUP(G52,Ch4_Storage,2, FALSE),0)</f>
        <v>0</v>
      </c>
    </row>
    <row r="53" ht="18.75" customHeight="1">
      <c r="A53" s="507">
        <f>IFERROR(VLOOKUP(H53,PartyStorage,2, FALSE),0)</f>
        <v>0</v>
      </c>
      <c r="B53" s="980"/>
      <c r="C53" s="981"/>
      <c r="D53" s="954"/>
      <c r="E53" s="954" t="str">
        <f t="shared" si="1"/>
        <v/>
      </c>
      <c r="F53" s="955"/>
      <c r="G53" s="956"/>
      <c r="H53" s="956"/>
      <c r="I53" s="982"/>
      <c r="M53" s="378"/>
      <c r="N53" s="346">
        <f>IFERROR(VLOOKUP(G53,Ch4_Storage,2, FALSE),0)</f>
        <v>0</v>
      </c>
    </row>
    <row r="54" ht="18.75" customHeight="1">
      <c r="A54" s="507">
        <f>IFERROR(VLOOKUP(H54,PartyStorage,2, FALSE),0)</f>
        <v>0</v>
      </c>
      <c r="B54" s="969"/>
      <c r="C54" s="970"/>
      <c r="D54" s="961"/>
      <c r="E54" s="961" t="str">
        <f t="shared" si="1"/>
        <v/>
      </c>
      <c r="F54" s="962"/>
      <c r="G54" s="964"/>
      <c r="H54" s="964"/>
      <c r="I54" s="979"/>
      <c r="M54" s="966"/>
      <c r="N54" s="346">
        <f>IFERROR(VLOOKUP(G54,Ch4_Storage,2, FALSE),0)</f>
        <v>0</v>
      </c>
    </row>
    <row r="55" ht="18.75" customHeight="1">
      <c r="A55" s="507">
        <f>IFERROR(VLOOKUP(H55,PartyStorage,2, FALSE),0)</f>
        <v>0</v>
      </c>
      <c r="B55" s="967"/>
      <c r="C55" s="983"/>
      <c r="D55" s="975"/>
      <c r="E55" s="954" t="str">
        <f t="shared" si="1"/>
        <v/>
      </c>
      <c r="F55" s="955"/>
      <c r="G55" s="956"/>
      <c r="H55" s="956"/>
      <c r="I55" s="982"/>
      <c r="M55" s="378"/>
      <c r="N55" s="346">
        <f>IFERROR(VLOOKUP(G55,Ch4_Storage,2, FALSE),0)</f>
        <v>0</v>
      </c>
    </row>
    <row r="56" ht="18.75" customHeight="1">
      <c r="A56" s="507">
        <f>IFERROR(VLOOKUP(H56,PartyStorage,2, FALSE),0)</f>
        <v>0</v>
      </c>
      <c r="B56" s="972"/>
      <c r="C56" s="970"/>
      <c r="D56" s="961"/>
      <c r="E56" s="961" t="str">
        <f t="shared" si="1"/>
        <v/>
      </c>
      <c r="F56" s="962"/>
      <c r="G56" s="964"/>
      <c r="H56" s="964"/>
      <c r="I56" s="965"/>
      <c r="M56" s="966"/>
      <c r="N56" s="346">
        <f>IFERROR(VLOOKUP(G56,Ch4_Storage,2, FALSE),0)</f>
        <v>0</v>
      </c>
    </row>
    <row r="57" ht="18.75" customHeight="1">
      <c r="A57" s="507">
        <f>IFERROR(VLOOKUP(H57,PartyStorage,2, FALSE),0)</f>
        <v>0</v>
      </c>
      <c r="B57" s="984"/>
      <c r="C57" s="983"/>
      <c r="D57" s="975"/>
      <c r="E57" s="954" t="str">
        <f t="shared" si="1"/>
        <v/>
      </c>
      <c r="F57" s="955"/>
      <c r="G57" s="956"/>
      <c r="H57" s="956"/>
      <c r="I57" s="985"/>
      <c r="J57" s="399"/>
      <c r="K57" s="399"/>
      <c r="L57" s="399"/>
      <c r="M57" s="986"/>
      <c r="N57" s="346">
        <f>IFERROR(VLOOKUP(G57,Ch4_Storage,2, FALSE),0)</f>
        <v>0</v>
      </c>
    </row>
    <row r="58" ht="18.75" customHeight="1">
      <c r="A58" s="507">
        <f>IFERROR(VLOOKUP(H58,PartyStorage,2, FALSE),0)</f>
        <v>0</v>
      </c>
      <c r="B58" s="972"/>
      <c r="C58" s="970"/>
      <c r="D58" s="974"/>
      <c r="E58" s="961" t="str">
        <f t="shared" si="1"/>
        <v/>
      </c>
      <c r="F58" s="962"/>
      <c r="G58" s="964"/>
      <c r="H58" s="971"/>
      <c r="I58" s="965"/>
      <c r="M58" s="966"/>
      <c r="N58" s="346">
        <f>IFERROR(VLOOKUP(G58,Ch4_Storage,2, FALSE),0)</f>
        <v>0</v>
      </c>
    </row>
    <row r="59" ht="18.75" customHeight="1">
      <c r="A59" s="507">
        <f>IFERROR(VLOOKUP(H59,PartyStorage,2, FALSE),0)</f>
        <v>0</v>
      </c>
      <c r="B59" s="967"/>
      <c r="C59" s="983"/>
      <c r="D59" s="975"/>
      <c r="E59" s="954" t="str">
        <f t="shared" si="1"/>
        <v/>
      </c>
      <c r="F59" s="955"/>
      <c r="G59" s="956"/>
      <c r="H59" s="978"/>
      <c r="I59" s="982"/>
      <c r="M59" s="378"/>
      <c r="N59" s="346">
        <f>IFERROR(VLOOKUP(G59,Ch4_Storage,2, FALSE),0)</f>
        <v>0</v>
      </c>
    </row>
    <row r="60" ht="18.75" customHeight="1">
      <c r="A60" s="507">
        <f>IFERROR(VLOOKUP(H60,PartyStorage,2, FALSE),0)</f>
        <v>0</v>
      </c>
      <c r="B60" s="972"/>
      <c r="C60" s="970"/>
      <c r="D60" s="974"/>
      <c r="E60" s="961" t="str">
        <f t="shared" si="1"/>
        <v/>
      </c>
      <c r="F60" s="962"/>
      <c r="G60" s="964"/>
      <c r="H60" s="964"/>
      <c r="I60" s="965"/>
      <c r="M60" s="966"/>
      <c r="N60" s="346">
        <f>IFERROR(VLOOKUP(G60,Ch4_Storage,2, FALSE),0)</f>
        <v>0</v>
      </c>
    </row>
    <row r="61" ht="18.75" customHeight="1">
      <c r="A61" s="507">
        <f>IFERROR(VLOOKUP(H61,PartyStorage,2, FALSE),0)</f>
        <v>0</v>
      </c>
      <c r="B61" s="967"/>
      <c r="C61" s="968"/>
      <c r="D61" s="975"/>
      <c r="E61" s="954" t="str">
        <f t="shared" si="1"/>
        <v/>
      </c>
      <c r="F61" s="955"/>
      <c r="G61" s="956"/>
      <c r="H61" s="956"/>
      <c r="I61" s="957"/>
      <c r="M61" s="378"/>
      <c r="N61" s="346">
        <f>IFERROR(VLOOKUP(G61,Ch4_Storage,2, FALSE),0)</f>
        <v>0</v>
      </c>
    </row>
    <row r="62" ht="18.75" customHeight="1">
      <c r="A62" s="507">
        <f>IFERROR(VLOOKUP(H62,PartyStorage,2, FALSE),0)</f>
        <v>0</v>
      </c>
      <c r="B62" s="972"/>
      <c r="C62" s="973"/>
      <c r="D62" s="974"/>
      <c r="E62" s="961" t="str">
        <f t="shared" si="1"/>
        <v/>
      </c>
      <c r="F62" s="962"/>
      <c r="G62" s="964"/>
      <c r="H62" s="964"/>
      <c r="I62" s="979"/>
      <c r="M62" s="966"/>
      <c r="N62" s="346">
        <f>IFERROR(VLOOKUP(G62,Ch4_Storage,2, FALSE),0)</f>
        <v>0</v>
      </c>
    </row>
    <row r="63" ht="18.75" customHeight="1">
      <c r="A63" s="507">
        <f>IFERROR(VLOOKUP(H63,PartyStorage,2, FALSE),0)</f>
        <v>0</v>
      </c>
      <c r="B63" s="987"/>
      <c r="C63" s="988"/>
      <c r="D63" s="989"/>
      <c r="E63" s="954" t="str">
        <f t="shared" si="1"/>
        <v/>
      </c>
      <c r="F63" s="990"/>
      <c r="G63" s="991"/>
      <c r="H63" s="992"/>
      <c r="I63" s="399"/>
      <c r="M63" s="378"/>
      <c r="N63" s="346">
        <f>IFERROR(VLOOKUP(G63,Ch4_Storage,2, FALSE),0)</f>
        <v>0</v>
      </c>
    </row>
    <row r="64" ht="18.75" customHeight="1">
      <c r="A64" s="507">
        <f>IFERROR(VLOOKUP(H64,PartyStorage,2, FALSE),0)</f>
        <v>0</v>
      </c>
      <c r="B64" s="969"/>
      <c r="C64" s="970"/>
      <c r="D64" s="974"/>
      <c r="E64" s="961" t="str">
        <f t="shared" si="1"/>
        <v/>
      </c>
      <c r="F64" s="962"/>
      <c r="G64" s="964"/>
      <c r="H64" s="971"/>
      <c r="I64" s="965"/>
      <c r="M64" s="966"/>
      <c r="N64" s="346">
        <f>IFERROR(VLOOKUP(G64,Ch4_Storage,2, FALSE),0)</f>
        <v>0</v>
      </c>
    </row>
    <row r="65" ht="18.75" customHeight="1">
      <c r="A65" s="507">
        <f>IFERROR(VLOOKUP(H65,PartyStorage,2, FALSE),0)</f>
        <v>0</v>
      </c>
      <c r="B65" s="984"/>
      <c r="C65" s="983"/>
      <c r="D65" s="975"/>
      <c r="E65" s="954" t="str">
        <f t="shared" si="1"/>
        <v/>
      </c>
      <c r="F65" s="955"/>
      <c r="G65" s="956"/>
      <c r="H65" s="978"/>
      <c r="I65" s="957"/>
      <c r="M65" s="378"/>
      <c r="N65" s="346">
        <f>IFERROR(VLOOKUP(G65,Ch4_Storage,2, FALSE),0)</f>
        <v>0</v>
      </c>
    </row>
    <row r="66" ht="18.75" customHeight="1">
      <c r="A66" s="507">
        <f>IFERROR(VLOOKUP(H66,PartyStorage,2, FALSE),0)</f>
        <v>0</v>
      </c>
      <c r="B66" s="969"/>
      <c r="C66" s="970"/>
      <c r="D66" s="974"/>
      <c r="E66" s="961" t="str">
        <f t="shared" si="1"/>
        <v/>
      </c>
      <c r="F66" s="962"/>
      <c r="G66" s="964"/>
      <c r="H66" s="971"/>
      <c r="I66" s="965"/>
      <c r="M66" s="966"/>
      <c r="N66" s="346">
        <f>IFERROR(VLOOKUP(G66,Ch4_Storage,2, FALSE),0)</f>
        <v>0</v>
      </c>
    </row>
    <row r="67" ht="18.75" customHeight="1">
      <c r="A67" s="507">
        <f>IFERROR(VLOOKUP(H67,PartyStorage,2, FALSE),0)</f>
        <v>0</v>
      </c>
      <c r="B67" s="984"/>
      <c r="C67" s="983"/>
      <c r="D67" s="975"/>
      <c r="E67" s="954" t="str">
        <f t="shared" si="1"/>
        <v/>
      </c>
      <c r="F67" s="955"/>
      <c r="G67" s="956"/>
      <c r="H67" s="978"/>
      <c r="I67" s="957"/>
      <c r="M67" s="378"/>
      <c r="N67" s="346">
        <f>IFERROR(VLOOKUP(G67,Ch4_Storage,2, FALSE),0)</f>
        <v>0</v>
      </c>
    </row>
    <row r="68" ht="18.75" customHeight="1">
      <c r="A68" s="507">
        <f>IFERROR(VLOOKUP(H68,PartyStorage,2, FALSE),0)</f>
        <v>0</v>
      </c>
      <c r="B68" s="969"/>
      <c r="C68" s="970"/>
      <c r="D68" s="974"/>
      <c r="E68" s="961" t="str">
        <f t="shared" si="1"/>
        <v/>
      </c>
      <c r="F68" s="962"/>
      <c r="G68" s="964"/>
      <c r="H68" s="971"/>
      <c r="I68" s="965"/>
      <c r="M68" s="966"/>
      <c r="N68" s="346">
        <f>IFERROR(VLOOKUP(G68,Ch4_Storage,2, FALSE),0)</f>
        <v>0</v>
      </c>
    </row>
    <row r="69" ht="18.75" customHeight="1">
      <c r="A69" s="507">
        <f>IFERROR(VLOOKUP(H69,PartyStorage,2, FALSE),0)</f>
        <v>0</v>
      </c>
      <c r="B69" s="967"/>
      <c r="C69" s="968"/>
      <c r="D69" s="954"/>
      <c r="E69" s="954" t="str">
        <f t="shared" si="1"/>
        <v/>
      </c>
      <c r="F69" s="955"/>
      <c r="G69" s="956"/>
      <c r="H69" s="978"/>
      <c r="I69" s="957"/>
      <c r="M69" s="378"/>
      <c r="N69" s="346">
        <f>IFERROR(VLOOKUP(G69,Ch4_Storage,2, FALSE),0)</f>
        <v>0</v>
      </c>
    </row>
    <row r="70" ht="18.75" customHeight="1">
      <c r="A70" s="507">
        <f>IFERROR(VLOOKUP(H70,PartyStorage,2, FALSE),0)</f>
        <v>0</v>
      </c>
      <c r="B70" s="972"/>
      <c r="C70" s="973"/>
      <c r="D70" s="974"/>
      <c r="E70" s="961" t="str">
        <f t="shared" si="1"/>
        <v/>
      </c>
      <c r="F70" s="962"/>
      <c r="G70" s="964"/>
      <c r="H70" s="971"/>
      <c r="I70" s="965"/>
      <c r="M70" s="966"/>
      <c r="N70" s="346">
        <f>IFERROR(VLOOKUP(G70,Ch4_Storage,2, FALSE),0)</f>
        <v>0</v>
      </c>
    </row>
    <row r="71" ht="18.75" customHeight="1">
      <c r="A71" s="507">
        <f>IFERROR(VLOOKUP(H71,PartyStorage,2, FALSE),0)</f>
        <v>0</v>
      </c>
      <c r="B71" s="967"/>
      <c r="C71" s="983"/>
      <c r="D71" s="975"/>
      <c r="E71" s="954" t="str">
        <f t="shared" si="1"/>
        <v/>
      </c>
      <c r="F71" s="955"/>
      <c r="G71" s="956"/>
      <c r="H71" s="978"/>
      <c r="I71" s="957"/>
      <c r="M71" s="378"/>
      <c r="N71" s="346">
        <f>IFERROR(VLOOKUP(G71,Ch4_Storage,2, FALSE),0)</f>
        <v>0</v>
      </c>
    </row>
    <row r="72" ht="18.75" customHeight="1">
      <c r="A72" s="507">
        <f>IFERROR(VLOOKUP(H72,PartyStorage,2, FALSE),0)</f>
        <v>0</v>
      </c>
      <c r="B72" s="972"/>
      <c r="C72" s="970"/>
      <c r="D72" s="974"/>
      <c r="E72" s="961" t="str">
        <f t="shared" si="1"/>
        <v/>
      </c>
      <c r="F72" s="962"/>
      <c r="G72" s="964"/>
      <c r="H72" s="971"/>
      <c r="I72" s="965"/>
      <c r="M72" s="966"/>
      <c r="N72" s="346">
        <f>IFERROR(VLOOKUP(G72,Ch4_Storage,2, FALSE),0)</f>
        <v>0</v>
      </c>
    </row>
    <row r="73" ht="18.75" customHeight="1">
      <c r="A73" s="507">
        <f>IFERROR(VLOOKUP(H73,PartyStorage,2, FALSE),0)</f>
        <v>0</v>
      </c>
      <c r="B73" s="967"/>
      <c r="C73" s="983"/>
      <c r="D73" s="975"/>
      <c r="E73" s="954" t="str">
        <f t="shared" si="1"/>
        <v/>
      </c>
      <c r="F73" s="955"/>
      <c r="G73" s="956"/>
      <c r="H73" s="978"/>
      <c r="I73" s="957"/>
      <c r="M73" s="378"/>
      <c r="N73" s="346">
        <f>IFERROR(VLOOKUP(G73,Ch4_Storage,2, FALSE),0)</f>
        <v>0</v>
      </c>
    </row>
    <row r="74" ht="18.75" customHeight="1">
      <c r="A74" s="507">
        <f>IFERROR(VLOOKUP(H74,PartyStorage,2, FALSE),0)</f>
        <v>0</v>
      </c>
      <c r="B74" s="972"/>
      <c r="C74" s="973"/>
      <c r="D74" s="974"/>
      <c r="E74" s="961" t="str">
        <f t="shared" si="1"/>
        <v/>
      </c>
      <c r="F74" s="962"/>
      <c r="G74" s="964"/>
      <c r="H74" s="971"/>
      <c r="I74" s="965"/>
      <c r="M74" s="966"/>
      <c r="N74" s="346">
        <f>IFERROR(VLOOKUP(G74,Ch4_Storage,2, FALSE),0)</f>
        <v>0</v>
      </c>
    </row>
    <row r="75" ht="18.75" customHeight="1">
      <c r="A75" s="507">
        <f>IFERROR(VLOOKUP(H75,PartyStorage,2, FALSE),0)</f>
        <v>0</v>
      </c>
      <c r="B75" s="967"/>
      <c r="C75" s="983"/>
      <c r="D75" s="975"/>
      <c r="E75" s="954" t="str">
        <f t="shared" si="1"/>
        <v/>
      </c>
      <c r="F75" s="955"/>
      <c r="G75" s="956"/>
      <c r="H75" s="978"/>
      <c r="I75" s="957"/>
      <c r="M75" s="378"/>
      <c r="N75" s="346">
        <f>IFERROR(VLOOKUP(G75,Ch4_Storage,2, FALSE),0)</f>
        <v>0</v>
      </c>
    </row>
    <row r="76" ht="18.75" customHeight="1">
      <c r="A76" s="507">
        <f>IFERROR(VLOOKUP(H76,PartyStorage,2, FALSE),0)</f>
        <v>0</v>
      </c>
      <c r="B76" s="993"/>
      <c r="C76" s="962"/>
      <c r="D76" s="974"/>
      <c r="E76" s="961" t="str">
        <f t="shared" si="1"/>
        <v/>
      </c>
      <c r="F76" s="962"/>
      <c r="G76" s="964"/>
      <c r="H76" s="971"/>
      <c r="I76" s="965"/>
      <c r="M76" s="966"/>
      <c r="N76" s="346">
        <f>IFERROR(VLOOKUP(G76,Ch4_Storage,2, FALSE),0)</f>
        <v>0</v>
      </c>
    </row>
    <row r="77" ht="18.75" customHeight="1">
      <c r="A77" s="507">
        <f>IFERROR(VLOOKUP(H77,PartyStorage,2, FALSE),0)</f>
        <v>0</v>
      </c>
      <c r="B77" s="994"/>
      <c r="C77" s="955"/>
      <c r="D77" s="975"/>
      <c r="E77" s="954" t="str">
        <f t="shared" si="1"/>
        <v/>
      </c>
      <c r="F77" s="955"/>
      <c r="G77" s="956"/>
      <c r="H77" s="978"/>
      <c r="I77" s="957"/>
      <c r="M77" s="378"/>
      <c r="N77" s="346">
        <f>IFERROR(VLOOKUP(G77,Ch4_Storage,2, FALSE),0)</f>
        <v>0</v>
      </c>
    </row>
    <row r="78" ht="18.75" customHeight="1">
      <c r="A78" s="507">
        <f>IFERROR(VLOOKUP(H78,PartyStorage,2, FALSE),0)</f>
        <v>0</v>
      </c>
      <c r="B78" s="993"/>
      <c r="C78" s="962"/>
      <c r="D78" s="974"/>
      <c r="E78" s="961" t="str">
        <f t="shared" si="1"/>
        <v/>
      </c>
      <c r="F78" s="962"/>
      <c r="G78" s="964"/>
      <c r="H78" s="971"/>
      <c r="I78" s="965"/>
      <c r="M78" s="966"/>
      <c r="N78" s="346">
        <f>IFERROR(VLOOKUP(G78,Ch4_Storage,2, FALSE),0)</f>
        <v>0</v>
      </c>
    </row>
    <row r="79" ht="18.75" customHeight="1">
      <c r="A79" s="507">
        <f>IFERROR(VLOOKUP(H79,PartyStorage,2, FALSE),0)</f>
        <v>0</v>
      </c>
      <c r="B79" s="994"/>
      <c r="C79" s="955"/>
      <c r="D79" s="975"/>
      <c r="E79" s="954" t="str">
        <f t="shared" si="1"/>
        <v/>
      </c>
      <c r="F79" s="955"/>
      <c r="G79" s="956"/>
      <c r="H79" s="978"/>
      <c r="I79" s="957"/>
      <c r="M79" s="378"/>
      <c r="N79" s="346">
        <f>IFERROR(VLOOKUP(G79,Ch4_Storage,2, FALSE),0)</f>
        <v>0</v>
      </c>
    </row>
    <row r="80" ht="18.75" customHeight="1">
      <c r="A80" s="507">
        <f>IFERROR(VLOOKUP(H80,PartyStorage,2, FALSE),0)</f>
        <v>0</v>
      </c>
      <c r="B80" s="993"/>
      <c r="C80" s="962"/>
      <c r="D80" s="974"/>
      <c r="E80" s="961" t="str">
        <f t="shared" si="1"/>
        <v/>
      </c>
      <c r="F80" s="962"/>
      <c r="G80" s="964"/>
      <c r="H80" s="971"/>
      <c r="I80" s="965"/>
      <c r="M80" s="966"/>
      <c r="N80" s="346">
        <f>IFERROR(VLOOKUP(G80,Ch4_Storage,2, FALSE),0)</f>
        <v>0</v>
      </c>
    </row>
    <row r="81" ht="18.75" customHeight="1">
      <c r="A81" s="507">
        <f>IFERROR(VLOOKUP(H81,PartyStorage,2, FALSE),0)</f>
        <v>0</v>
      </c>
      <c r="B81" s="994"/>
      <c r="C81" s="955"/>
      <c r="D81" s="975"/>
      <c r="E81" s="954" t="str">
        <f t="shared" si="1"/>
        <v/>
      </c>
      <c r="F81" s="955"/>
      <c r="G81" s="956"/>
      <c r="H81" s="978"/>
      <c r="I81" s="957"/>
      <c r="M81" s="378"/>
      <c r="N81" s="346">
        <f>IFERROR(VLOOKUP(G81,Ch4_Storage,2, FALSE),0)</f>
        <v>0</v>
      </c>
    </row>
    <row r="82" ht="18.75" customHeight="1">
      <c r="A82" s="507">
        <f>IFERROR(VLOOKUP(H82,PartyStorage,2, FALSE),0)</f>
        <v>0</v>
      </c>
      <c r="B82" s="993"/>
      <c r="C82" s="962"/>
      <c r="D82" s="974"/>
      <c r="E82" s="961" t="str">
        <f t="shared" si="1"/>
        <v/>
      </c>
      <c r="F82" s="962"/>
      <c r="G82" s="964"/>
      <c r="H82" s="971"/>
      <c r="I82" s="965"/>
      <c r="M82" s="966"/>
      <c r="N82" s="346">
        <f>IFERROR(VLOOKUP(G82,Ch4_Storage,2, FALSE),0)</f>
        <v>0</v>
      </c>
    </row>
    <row r="83" ht="18.75" customHeight="1">
      <c r="A83" s="507">
        <f>IFERROR(VLOOKUP(H83,PartyStorage,2, FALSE),0)</f>
        <v>0</v>
      </c>
      <c r="B83" s="994"/>
      <c r="C83" s="955"/>
      <c r="D83" s="975"/>
      <c r="E83" s="954" t="str">
        <f t="shared" si="1"/>
        <v/>
      </c>
      <c r="F83" s="955"/>
      <c r="G83" s="956"/>
      <c r="H83" s="978"/>
      <c r="I83" s="957"/>
      <c r="M83" s="378"/>
      <c r="N83" s="346">
        <f>IFERROR(VLOOKUP(G83,Ch4_Storage,2, FALSE),0)</f>
        <v>0</v>
      </c>
    </row>
    <row r="84" ht="18.75" customHeight="1">
      <c r="A84" s="507">
        <f>IFERROR(VLOOKUP(H84,PartyStorage,2, FALSE),0)</f>
        <v>0</v>
      </c>
      <c r="B84" s="993"/>
      <c r="C84" s="962"/>
      <c r="D84" s="974"/>
      <c r="E84" s="961" t="str">
        <f t="shared" si="1"/>
        <v/>
      </c>
      <c r="F84" s="962"/>
      <c r="G84" s="964"/>
      <c r="H84" s="971"/>
      <c r="I84" s="965"/>
      <c r="M84" s="966"/>
      <c r="N84" s="346">
        <f>IFERROR(VLOOKUP(G84,Ch4_Storage,2, FALSE),0)</f>
        <v>0</v>
      </c>
    </row>
    <row r="85" ht="18.75" customHeight="1">
      <c r="A85" s="507">
        <f>IFERROR(VLOOKUP(H85,PartyStorage,2, FALSE),0)</f>
        <v>0</v>
      </c>
      <c r="B85" s="994"/>
      <c r="C85" s="955"/>
      <c r="D85" s="975"/>
      <c r="E85" s="954" t="str">
        <f t="shared" si="1"/>
        <v/>
      </c>
      <c r="F85" s="955"/>
      <c r="G85" s="956"/>
      <c r="H85" s="978"/>
      <c r="I85" s="957"/>
      <c r="M85" s="378"/>
      <c r="N85" s="346">
        <f>IFERROR(VLOOKUP(G85,Ch4_Storage,2, FALSE),0)</f>
        <v>0</v>
      </c>
    </row>
    <row r="86" ht="18.75" customHeight="1">
      <c r="A86" s="507">
        <f>IFERROR(VLOOKUP(H86,PartyStorage,2, FALSE),0)</f>
        <v>0</v>
      </c>
      <c r="B86" s="993"/>
      <c r="C86" s="962"/>
      <c r="D86" s="974"/>
      <c r="E86" s="961" t="str">
        <f t="shared" si="1"/>
        <v/>
      </c>
      <c r="F86" s="962"/>
      <c r="G86" s="964"/>
      <c r="H86" s="971"/>
      <c r="I86" s="965"/>
      <c r="M86" s="966"/>
      <c r="N86" s="346">
        <f>IFERROR(VLOOKUP(G86,Ch4_Storage,2, FALSE),0)</f>
        <v>0</v>
      </c>
    </row>
    <row r="87" ht="18.75" customHeight="1">
      <c r="A87" s="507">
        <f>IFERROR(VLOOKUP(H87,PartyStorage,2, FALSE),0)</f>
        <v>0</v>
      </c>
      <c r="B87" s="994"/>
      <c r="C87" s="955"/>
      <c r="D87" s="975"/>
      <c r="E87" s="954" t="str">
        <f t="shared" si="1"/>
        <v/>
      </c>
      <c r="F87" s="955"/>
      <c r="G87" s="956"/>
      <c r="H87" s="978"/>
      <c r="I87" s="957"/>
      <c r="M87" s="378"/>
      <c r="N87" s="346">
        <f>IFERROR(VLOOKUP(G87,Ch4_Storage,2, FALSE),0)</f>
        <v>0</v>
      </c>
    </row>
    <row r="88" ht="18.75" customHeight="1">
      <c r="A88" s="507">
        <f>IFERROR(VLOOKUP(H88,PartyStorage,2, FALSE),0)</f>
        <v>0</v>
      </c>
      <c r="B88" s="993"/>
      <c r="C88" s="962"/>
      <c r="D88" s="974"/>
      <c r="E88" s="961" t="str">
        <f t="shared" si="1"/>
        <v/>
      </c>
      <c r="F88" s="962"/>
      <c r="G88" s="964"/>
      <c r="H88" s="971"/>
      <c r="I88" s="965"/>
      <c r="M88" s="966"/>
      <c r="N88" s="346">
        <f>IFERROR(VLOOKUP(G88,Ch4_Storage,2, FALSE),0)</f>
        <v>0</v>
      </c>
    </row>
    <row r="89" ht="18.75" customHeight="1">
      <c r="A89" s="507">
        <f>IFERROR(VLOOKUP(H89,PartyStorage,2, FALSE),0)</f>
        <v>0</v>
      </c>
      <c r="B89" s="994"/>
      <c r="C89" s="955"/>
      <c r="D89" s="975"/>
      <c r="E89" s="954" t="str">
        <f t="shared" si="1"/>
        <v/>
      </c>
      <c r="F89" s="955"/>
      <c r="G89" s="956"/>
      <c r="H89" s="978"/>
      <c r="I89" s="957"/>
      <c r="M89" s="378"/>
      <c r="N89" s="346">
        <f>IFERROR(VLOOKUP(G89,Ch4_Storage,2, FALSE),0)</f>
        <v>0</v>
      </c>
    </row>
    <row r="90" ht="18.75" customHeight="1">
      <c r="A90" s="507">
        <f>IFERROR(VLOOKUP(H90,PartyStorage,2, FALSE),0)</f>
        <v>0</v>
      </c>
      <c r="B90" s="993"/>
      <c r="C90" s="962"/>
      <c r="D90" s="974"/>
      <c r="E90" s="961" t="str">
        <f t="shared" si="1"/>
        <v/>
      </c>
      <c r="F90" s="962"/>
      <c r="G90" s="964"/>
      <c r="H90" s="971"/>
      <c r="I90" s="965"/>
      <c r="M90" s="966"/>
      <c r="N90" s="346">
        <f>IFERROR(VLOOKUP(G90,Ch4_Storage,2, FALSE),0)</f>
        <v>0</v>
      </c>
    </row>
    <row r="91" ht="18.75" customHeight="1">
      <c r="A91" s="507">
        <f>IFERROR(VLOOKUP(H91,PartyStorage,2, FALSE),0)</f>
        <v>0</v>
      </c>
      <c r="B91" s="994"/>
      <c r="C91" s="955"/>
      <c r="D91" s="975"/>
      <c r="E91" s="954" t="str">
        <f t="shared" si="1"/>
        <v/>
      </c>
      <c r="F91" s="955"/>
      <c r="G91" s="956"/>
      <c r="H91" s="978"/>
      <c r="I91" s="957"/>
      <c r="M91" s="378"/>
      <c r="N91" s="346">
        <f>IFERROR(VLOOKUP(G91,Ch4_Storage,2, FALSE),0)</f>
        <v>0</v>
      </c>
    </row>
    <row r="92" ht="18.75" customHeight="1">
      <c r="A92" s="507">
        <f>IFERROR(VLOOKUP(H92,PartyStorage,2, FALSE),0)</f>
        <v>0</v>
      </c>
      <c r="B92" s="993"/>
      <c r="C92" s="962"/>
      <c r="D92" s="974"/>
      <c r="E92" s="961" t="str">
        <f t="shared" si="1"/>
        <v/>
      </c>
      <c r="F92" s="962"/>
      <c r="G92" s="964"/>
      <c r="H92" s="971"/>
      <c r="I92" s="965"/>
      <c r="M92" s="966"/>
      <c r="N92" s="346">
        <f>IFERROR(VLOOKUP(G92,Ch4_Storage,2, FALSE),0)</f>
        <v>0</v>
      </c>
    </row>
    <row r="93" ht="18.75" customHeight="1">
      <c r="A93" s="507">
        <f>IFERROR(VLOOKUP(H93,PartyStorage,2, FALSE),0)</f>
        <v>0</v>
      </c>
      <c r="B93" s="994"/>
      <c r="C93" s="955"/>
      <c r="D93" s="975"/>
      <c r="E93" s="954" t="str">
        <f t="shared" si="1"/>
        <v/>
      </c>
      <c r="F93" s="955"/>
      <c r="G93" s="956"/>
      <c r="H93" s="978"/>
      <c r="I93" s="957"/>
      <c r="M93" s="378"/>
      <c r="N93" s="346">
        <f>IFERROR(VLOOKUP(G93,Ch4_Storage,2, FALSE),0)</f>
        <v>0</v>
      </c>
    </row>
    <row r="94" ht="18.75" customHeight="1">
      <c r="A94" s="507">
        <f>IFERROR(VLOOKUP(H94,PartyStorage,2, FALSE),0)</f>
        <v>0</v>
      </c>
      <c r="B94" s="993"/>
      <c r="C94" s="962"/>
      <c r="D94" s="974"/>
      <c r="E94" s="961" t="str">
        <f t="shared" si="1"/>
        <v/>
      </c>
      <c r="F94" s="962"/>
      <c r="G94" s="964"/>
      <c r="H94" s="971"/>
      <c r="I94" s="965"/>
      <c r="M94" s="966"/>
      <c r="N94" s="346">
        <f>IFERROR(VLOOKUP(G94,Ch4_Storage,2, FALSE),0)</f>
        <v>0</v>
      </c>
    </row>
    <row r="95" ht="18.75" customHeight="1">
      <c r="A95" s="507">
        <f>IFERROR(VLOOKUP(H95,PartyStorage,2, FALSE),0)</f>
        <v>0</v>
      </c>
      <c r="B95" s="994"/>
      <c r="C95" s="955"/>
      <c r="D95" s="975"/>
      <c r="E95" s="954" t="str">
        <f t="shared" si="1"/>
        <v/>
      </c>
      <c r="F95" s="955"/>
      <c r="G95" s="956"/>
      <c r="H95" s="978"/>
      <c r="I95" s="957"/>
      <c r="M95" s="378"/>
      <c r="N95" s="346">
        <f>IFERROR(VLOOKUP(G95,Ch4_Storage,2, FALSE),0)</f>
        <v>0</v>
      </c>
    </row>
    <row r="96" ht="18.75" customHeight="1">
      <c r="A96" s="507">
        <f>IFERROR(VLOOKUP(H96,PartyStorage,2, FALSE),0)</f>
        <v>0</v>
      </c>
      <c r="B96" s="993"/>
      <c r="C96" s="962"/>
      <c r="D96" s="974"/>
      <c r="E96" s="961" t="str">
        <f t="shared" si="1"/>
        <v/>
      </c>
      <c r="F96" s="962"/>
      <c r="G96" s="964"/>
      <c r="H96" s="971"/>
      <c r="I96" s="965"/>
      <c r="M96" s="966"/>
      <c r="N96" s="346">
        <f>IFERROR(VLOOKUP(G96,Ch4_Storage,2, FALSE),0)</f>
        <v>0</v>
      </c>
    </row>
    <row r="97" ht="18.75" customHeight="1">
      <c r="A97" s="507">
        <f>IFERROR(VLOOKUP(H97,PartyStorage,2, FALSE),0)</f>
        <v>0</v>
      </c>
      <c r="B97" s="994"/>
      <c r="C97" s="955"/>
      <c r="D97" s="975"/>
      <c r="E97" s="954" t="str">
        <f t="shared" si="1"/>
        <v/>
      </c>
      <c r="F97" s="955"/>
      <c r="G97" s="956"/>
      <c r="H97" s="978"/>
      <c r="I97" s="957"/>
      <c r="M97" s="378"/>
      <c r="N97" s="346">
        <f>IFERROR(VLOOKUP(G97,Ch4_Storage,2, FALSE),0)</f>
        <v>0</v>
      </c>
    </row>
    <row r="98" ht="18.75" customHeight="1">
      <c r="A98" s="507">
        <f>IFERROR(VLOOKUP(H98,PartyStorage,2, FALSE),0)</f>
        <v>0</v>
      </c>
      <c r="B98" s="993"/>
      <c r="C98" s="962"/>
      <c r="D98" s="974"/>
      <c r="E98" s="961" t="str">
        <f t="shared" si="1"/>
        <v/>
      </c>
      <c r="F98" s="962"/>
      <c r="G98" s="964"/>
      <c r="H98" s="971"/>
      <c r="I98" s="965"/>
      <c r="M98" s="966"/>
      <c r="N98" s="346">
        <f>IFERROR(VLOOKUP(G98,Ch4_Storage,2, FALSE),0)</f>
        <v>0</v>
      </c>
    </row>
    <row r="99" ht="18.75" customHeight="1">
      <c r="A99" s="507">
        <f>IFERROR(VLOOKUP(H99,PartyStorage,2, FALSE),0)</f>
        <v>0</v>
      </c>
      <c r="B99" s="994"/>
      <c r="C99" s="955"/>
      <c r="D99" s="975"/>
      <c r="E99" s="954" t="str">
        <f t="shared" si="1"/>
        <v/>
      </c>
      <c r="F99" s="955"/>
      <c r="G99" s="956"/>
      <c r="H99" s="978"/>
      <c r="I99" s="957"/>
      <c r="M99" s="378"/>
      <c r="N99" s="346">
        <f>IFERROR(VLOOKUP(G99,Ch4_Storage,2, FALSE),0)</f>
        <v>0</v>
      </c>
    </row>
    <row r="100" ht="18.75" customHeight="1">
      <c r="A100" s="507">
        <f>IFERROR(VLOOKUP(H100,PartyStorage,2, FALSE),0)</f>
        <v>0</v>
      </c>
      <c r="B100" s="993"/>
      <c r="C100" s="962"/>
      <c r="D100" s="974"/>
      <c r="E100" s="961" t="str">
        <f t="shared" si="1"/>
        <v/>
      </c>
      <c r="F100" s="962"/>
      <c r="G100" s="964"/>
      <c r="H100" s="971"/>
      <c r="I100" s="965"/>
      <c r="M100" s="966"/>
      <c r="N100" s="346">
        <f>IFERROR(VLOOKUP(G100,Ch4_Storage,2, FALSE),0)</f>
        <v>0</v>
      </c>
    </row>
    <row r="101" ht="18.75" customHeight="1">
      <c r="A101" s="507">
        <f>IFERROR(VLOOKUP(H101,PartyStorage,2, FALSE),0)</f>
        <v>0</v>
      </c>
      <c r="B101" s="994"/>
      <c r="C101" s="955"/>
      <c r="D101" s="975"/>
      <c r="E101" s="954" t="str">
        <f t="shared" si="1"/>
        <v/>
      </c>
      <c r="F101" s="955"/>
      <c r="G101" s="956"/>
      <c r="H101" s="978"/>
      <c r="I101" s="957"/>
      <c r="M101" s="378"/>
      <c r="N101" s="346">
        <f>IFERROR(VLOOKUP(G101,Ch4_Storage,2, FALSE),0)</f>
        <v>0</v>
      </c>
    </row>
    <row r="102" ht="18.75" customHeight="1">
      <c r="A102" s="507">
        <f>IFERROR(VLOOKUP(H102,PartyStorage,2, FALSE),0)</f>
        <v>0</v>
      </c>
      <c r="B102" s="993"/>
      <c r="C102" s="962"/>
      <c r="D102" s="974"/>
      <c r="E102" s="961" t="str">
        <f t="shared" si="1"/>
        <v/>
      </c>
      <c r="F102" s="962"/>
      <c r="G102" s="964"/>
      <c r="H102" s="971"/>
      <c r="I102" s="965"/>
      <c r="M102" s="966"/>
      <c r="N102" s="346">
        <f>IFERROR(VLOOKUP(G102,Ch4_Storage,2, FALSE),0)</f>
        <v>0</v>
      </c>
    </row>
    <row r="103" ht="18.75" customHeight="1">
      <c r="A103" s="507">
        <f>IFERROR(VLOOKUP(H103,PartyStorage,2, FALSE),0)</f>
        <v>0</v>
      </c>
      <c r="B103" s="994"/>
      <c r="C103" s="955"/>
      <c r="D103" s="975"/>
      <c r="E103" s="954" t="str">
        <f t="shared" si="1"/>
        <v/>
      </c>
      <c r="F103" s="955"/>
      <c r="G103" s="956"/>
      <c r="H103" s="978"/>
      <c r="I103" s="957"/>
      <c r="M103" s="378"/>
      <c r="N103" s="346">
        <f>IFERROR(VLOOKUP(G103,Ch4_Storage,2, FALSE),0)</f>
        <v>0</v>
      </c>
    </row>
    <row r="104" ht="18.75" customHeight="1">
      <c r="A104" s="507">
        <f>IFERROR(VLOOKUP(H104,PartyStorage,2, FALSE),0)</f>
        <v>0</v>
      </c>
      <c r="B104" s="993"/>
      <c r="C104" s="962"/>
      <c r="D104" s="974"/>
      <c r="E104" s="961" t="str">
        <f t="shared" si="1"/>
        <v/>
      </c>
      <c r="F104" s="962"/>
      <c r="G104" s="964"/>
      <c r="H104" s="971"/>
      <c r="I104" s="965"/>
      <c r="M104" s="966"/>
      <c r="N104" s="346">
        <f>IFERROR(VLOOKUP(G104,Ch4_Storage,2, FALSE),0)</f>
        <v>0</v>
      </c>
    </row>
    <row r="105" ht="18.75" customHeight="1">
      <c r="A105" s="507">
        <f>IFERROR(VLOOKUP(H105,PartyStorage,2, FALSE),0)</f>
        <v>0</v>
      </c>
      <c r="B105" s="994"/>
      <c r="C105" s="955"/>
      <c r="D105" s="975"/>
      <c r="E105" s="954" t="str">
        <f t="shared" si="1"/>
        <v/>
      </c>
      <c r="F105" s="955"/>
      <c r="G105" s="956"/>
      <c r="H105" s="978"/>
      <c r="I105" s="957"/>
      <c r="M105" s="378"/>
      <c r="N105" s="346">
        <f>IFERROR(VLOOKUP(G105,Ch4_Storage,2, FALSE),0)</f>
        <v>0</v>
      </c>
    </row>
    <row r="106" ht="18.75" customHeight="1">
      <c r="A106" s="507">
        <f>IFERROR(VLOOKUP(H106,PartyStorage,2, FALSE),0)</f>
        <v>0</v>
      </c>
      <c r="B106" s="993"/>
      <c r="C106" s="962"/>
      <c r="D106" s="974"/>
      <c r="E106" s="961" t="str">
        <f t="shared" si="1"/>
        <v/>
      </c>
      <c r="F106" s="962"/>
      <c r="G106" s="964"/>
      <c r="H106" s="971"/>
      <c r="I106" s="965"/>
      <c r="M106" s="966"/>
      <c r="N106" s="346">
        <f>IFERROR(VLOOKUP(G106,Ch4_Storage,2, FALSE),0)</f>
        <v>0</v>
      </c>
    </row>
    <row r="107" ht="18.75" customHeight="1">
      <c r="A107" s="507">
        <f>IFERROR(VLOOKUP(H107,PartyStorage,2, FALSE),0)</f>
        <v>0</v>
      </c>
      <c r="B107" s="994"/>
      <c r="C107" s="955"/>
      <c r="D107" s="975"/>
      <c r="E107" s="954" t="str">
        <f t="shared" si="1"/>
        <v/>
      </c>
      <c r="F107" s="955"/>
      <c r="G107" s="956"/>
      <c r="H107" s="978"/>
      <c r="I107" s="957"/>
      <c r="M107" s="378"/>
      <c r="N107" s="346">
        <f>IFERROR(VLOOKUP(G107,Ch4_Storage,2, FALSE),0)</f>
        <v>0</v>
      </c>
    </row>
    <row r="108" ht="18.75" customHeight="1">
      <c r="A108" s="507">
        <f>IFERROR(VLOOKUP(H108,PartyStorage,2, FALSE),0)</f>
        <v>0</v>
      </c>
      <c r="B108" s="993"/>
      <c r="C108" s="962"/>
      <c r="D108" s="974"/>
      <c r="E108" s="961" t="str">
        <f t="shared" si="1"/>
        <v/>
      </c>
      <c r="F108" s="962"/>
      <c r="G108" s="964"/>
      <c r="H108" s="971"/>
      <c r="I108" s="965"/>
      <c r="M108" s="966"/>
      <c r="N108" s="346">
        <f>IFERROR(VLOOKUP(G108,Ch4_Storage,2, FALSE),0)</f>
        <v>0</v>
      </c>
    </row>
    <row r="109" ht="18.75" customHeight="1">
      <c r="A109" s="507">
        <f>IFERROR(VLOOKUP(H109,PartyStorage,2, FALSE),0)</f>
        <v>0</v>
      </c>
      <c r="B109" s="994"/>
      <c r="C109" s="955"/>
      <c r="D109" s="975"/>
      <c r="E109" s="954" t="str">
        <f t="shared" si="1"/>
        <v/>
      </c>
      <c r="F109" s="955"/>
      <c r="G109" s="956"/>
      <c r="H109" s="978"/>
      <c r="I109" s="957"/>
      <c r="M109" s="378"/>
      <c r="N109" s="346">
        <f>IFERROR(VLOOKUP(G109,Ch4_Storage,2, FALSE),0)</f>
        <v>0</v>
      </c>
    </row>
    <row r="110" ht="18.75" customHeight="1">
      <c r="A110" s="507">
        <f>IFERROR(VLOOKUP(H110,PartyStorage,2, FALSE),0)</f>
        <v>0</v>
      </c>
      <c r="B110" s="993"/>
      <c r="C110" s="962"/>
      <c r="D110" s="974"/>
      <c r="E110" s="961" t="str">
        <f t="shared" si="1"/>
        <v/>
      </c>
      <c r="F110" s="962"/>
      <c r="G110" s="964"/>
      <c r="H110" s="971"/>
      <c r="I110" s="965"/>
      <c r="M110" s="966"/>
      <c r="N110" s="346">
        <f>IFERROR(VLOOKUP(G110,Ch4_Storage,2, FALSE),0)</f>
        <v>0</v>
      </c>
    </row>
    <row r="111" ht="18.75" customHeight="1">
      <c r="A111" s="507">
        <f>IFERROR(VLOOKUP(H111,PartyStorage,2, FALSE),0)</f>
        <v>0</v>
      </c>
      <c r="B111" s="994"/>
      <c r="C111" s="955"/>
      <c r="D111" s="975"/>
      <c r="E111" s="954" t="str">
        <f t="shared" si="1"/>
        <v/>
      </c>
      <c r="F111" s="955"/>
      <c r="G111" s="956"/>
      <c r="H111" s="978"/>
      <c r="I111" s="957"/>
      <c r="M111" s="378"/>
      <c r="N111" s="346">
        <f>IFERROR(VLOOKUP(G111,Ch4_Storage,2, FALSE),0)</f>
        <v>0</v>
      </c>
    </row>
    <row r="112" ht="18.75" customHeight="1">
      <c r="A112" s="507">
        <f>IFERROR(VLOOKUP(H112,PartyStorage,2, FALSE),0)</f>
        <v>0</v>
      </c>
      <c r="B112" s="993"/>
      <c r="C112" s="962"/>
      <c r="D112" s="974"/>
      <c r="E112" s="961" t="str">
        <f t="shared" si="1"/>
        <v/>
      </c>
      <c r="F112" s="962"/>
      <c r="G112" s="964"/>
      <c r="H112" s="971"/>
      <c r="I112" s="965"/>
      <c r="M112" s="966"/>
      <c r="N112" s="346">
        <f>IFERROR(VLOOKUP(G112,Ch4_Storage,2, FALSE),0)</f>
        <v>0</v>
      </c>
    </row>
    <row r="113" ht="18.75" customHeight="1">
      <c r="A113" s="507">
        <f>IFERROR(VLOOKUP(H113,PartyStorage,2, FALSE),0)</f>
        <v>0</v>
      </c>
      <c r="B113" s="994"/>
      <c r="C113" s="955"/>
      <c r="D113" s="975"/>
      <c r="E113" s="954" t="str">
        <f t="shared" si="1"/>
        <v/>
      </c>
      <c r="F113" s="955"/>
      <c r="G113" s="956"/>
      <c r="H113" s="978"/>
      <c r="I113" s="957"/>
      <c r="M113" s="378"/>
      <c r="N113" s="346">
        <f>IFERROR(VLOOKUP(G113,Ch4_Storage,2, FALSE),0)</f>
        <v>0</v>
      </c>
    </row>
    <row r="114" ht="18.75" customHeight="1">
      <c r="A114" s="507">
        <f>IFERROR(VLOOKUP(H114,PartyStorage,2, FALSE),0)</f>
        <v>0</v>
      </c>
      <c r="B114" s="993"/>
      <c r="C114" s="962"/>
      <c r="D114" s="974"/>
      <c r="E114" s="961" t="str">
        <f t="shared" si="1"/>
        <v/>
      </c>
      <c r="F114" s="962"/>
      <c r="G114" s="964"/>
      <c r="H114" s="971"/>
      <c r="I114" s="965"/>
      <c r="M114" s="966"/>
      <c r="N114" s="346">
        <f>IFERROR(VLOOKUP(G114,Ch4_Storage,2, FALSE),0)</f>
        <v>0</v>
      </c>
    </row>
    <row r="115" ht="18.75" customHeight="1">
      <c r="A115" s="507">
        <f>IFERROR(VLOOKUP(H115,PartyStorage,2, FALSE),0)</f>
        <v>0</v>
      </c>
      <c r="B115" s="994"/>
      <c r="C115" s="955"/>
      <c r="D115" s="975"/>
      <c r="E115" s="954" t="str">
        <f t="shared" si="1"/>
        <v/>
      </c>
      <c r="F115" s="955"/>
      <c r="G115" s="956"/>
      <c r="H115" s="978"/>
      <c r="I115" s="957"/>
      <c r="M115" s="378"/>
      <c r="N115" s="346">
        <f>IFERROR(VLOOKUP(G115,Ch4_Storage,2, FALSE),0)</f>
        <v>0</v>
      </c>
    </row>
    <row r="116" ht="18.75" customHeight="1">
      <c r="A116" s="507">
        <f>IFERROR(VLOOKUP(H116,PartyStorage,2, FALSE),0)</f>
        <v>0</v>
      </c>
      <c r="B116" s="993"/>
      <c r="C116" s="962"/>
      <c r="D116" s="974"/>
      <c r="E116" s="961" t="str">
        <f t="shared" si="1"/>
        <v/>
      </c>
      <c r="F116" s="962"/>
      <c r="G116" s="964"/>
      <c r="H116" s="971"/>
      <c r="I116" s="965"/>
      <c r="M116" s="966"/>
      <c r="N116" s="346">
        <f>IFERROR(VLOOKUP(G116,Ch4_Storage,2, FALSE),0)</f>
        <v>0</v>
      </c>
    </row>
    <row r="117" ht="18.75" customHeight="1">
      <c r="A117" s="507">
        <f>IFERROR(VLOOKUP(H117,PartyStorage,2, FALSE),0)</f>
        <v>0</v>
      </c>
      <c r="B117" s="994"/>
      <c r="C117" s="955"/>
      <c r="D117" s="975"/>
      <c r="E117" s="954" t="str">
        <f t="shared" si="1"/>
        <v/>
      </c>
      <c r="F117" s="955"/>
      <c r="G117" s="956"/>
      <c r="H117" s="978"/>
      <c r="I117" s="957"/>
      <c r="M117" s="378"/>
      <c r="N117" s="346">
        <f>IFERROR(VLOOKUP(G117,Ch4_Storage,2, FALSE),0)</f>
        <v>0</v>
      </c>
    </row>
    <row r="118" ht="18.75" customHeight="1">
      <c r="A118" s="507">
        <f>IFERROR(VLOOKUP(H118,PartyStorage,2, FALSE),0)</f>
        <v>0</v>
      </c>
      <c r="B118" s="993"/>
      <c r="C118" s="962"/>
      <c r="D118" s="974"/>
      <c r="E118" s="961" t="str">
        <f t="shared" si="1"/>
        <v/>
      </c>
      <c r="F118" s="962"/>
      <c r="G118" s="964"/>
      <c r="H118" s="971"/>
      <c r="I118" s="965"/>
      <c r="M118" s="966"/>
      <c r="N118" s="346">
        <f>IFERROR(VLOOKUP(G118,Ch4_Storage,2, FALSE),0)</f>
        <v>0</v>
      </c>
    </row>
    <row r="119" ht="18.75" customHeight="1">
      <c r="A119" s="507">
        <f>IFERROR(VLOOKUP(H119,PartyStorage,2, FALSE),0)</f>
        <v>0</v>
      </c>
      <c r="B119" s="994"/>
      <c r="C119" s="955"/>
      <c r="D119" s="975"/>
      <c r="E119" s="954" t="str">
        <f t="shared" si="1"/>
        <v/>
      </c>
      <c r="F119" s="955"/>
      <c r="G119" s="956"/>
      <c r="H119" s="978"/>
      <c r="I119" s="957"/>
      <c r="M119" s="378"/>
      <c r="N119" s="346">
        <f>IFERROR(VLOOKUP(G119,Ch4_Storage,2, FALSE),0)</f>
        <v>0</v>
      </c>
    </row>
    <row r="120" ht="18.75" customHeight="1">
      <c r="A120" s="507">
        <f>IFERROR(VLOOKUP(H120,PartyStorage,2, FALSE),0)</f>
        <v>0</v>
      </c>
      <c r="B120" s="993"/>
      <c r="C120" s="962"/>
      <c r="D120" s="974"/>
      <c r="E120" s="961" t="str">
        <f t="shared" si="1"/>
        <v/>
      </c>
      <c r="F120" s="962"/>
      <c r="G120" s="964"/>
      <c r="H120" s="971"/>
      <c r="I120" s="965"/>
      <c r="M120" s="966"/>
      <c r="N120" s="346">
        <f>IFERROR(VLOOKUP(G120,Ch4_Storage,2, FALSE),0)</f>
        <v>0</v>
      </c>
    </row>
    <row r="121" ht="18.75" customHeight="1">
      <c r="A121" s="507">
        <f>IFERROR(VLOOKUP(H121,PartyStorage,2, FALSE),0)</f>
        <v>0</v>
      </c>
      <c r="B121" s="994"/>
      <c r="C121" s="955"/>
      <c r="D121" s="975"/>
      <c r="E121" s="954" t="str">
        <f t="shared" si="1"/>
        <v/>
      </c>
      <c r="F121" s="955"/>
      <c r="G121" s="956"/>
      <c r="H121" s="978"/>
      <c r="I121" s="957"/>
      <c r="M121" s="378"/>
      <c r="N121" s="346">
        <f>IFERROR(VLOOKUP(G121,Ch4_Storage,2, FALSE),0)</f>
        <v>0</v>
      </c>
    </row>
    <row r="122" ht="18.75" customHeight="1">
      <c r="A122" s="507">
        <f>IFERROR(VLOOKUP(H122,PartyStorage,2, FALSE),0)</f>
        <v>0</v>
      </c>
      <c r="B122" s="993"/>
      <c r="C122" s="962"/>
      <c r="D122" s="974"/>
      <c r="E122" s="961" t="str">
        <f t="shared" si="1"/>
        <v/>
      </c>
      <c r="F122" s="962"/>
      <c r="G122" s="964"/>
      <c r="H122" s="971"/>
      <c r="I122" s="965"/>
      <c r="M122" s="966"/>
      <c r="N122" s="346">
        <f>IFERROR(VLOOKUP(G122,Ch4_Storage,2, FALSE),0)</f>
        <v>0</v>
      </c>
    </row>
    <row r="123" ht="18.75" customHeight="1">
      <c r="A123" s="507">
        <f>IFERROR(VLOOKUP(H123,PartyStorage,2, FALSE),0)</f>
        <v>0</v>
      </c>
      <c r="B123" s="994"/>
      <c r="C123" s="955"/>
      <c r="D123" s="975"/>
      <c r="E123" s="954" t="str">
        <f t="shared" si="1"/>
        <v/>
      </c>
      <c r="F123" s="955"/>
      <c r="G123" s="956"/>
      <c r="H123" s="978"/>
      <c r="I123" s="957"/>
      <c r="M123" s="378"/>
      <c r="N123" s="346">
        <f>IFERROR(VLOOKUP(G123,Ch4_Storage,2, FALSE),0)</f>
        <v>0</v>
      </c>
    </row>
    <row r="124" ht="18.75" customHeight="1">
      <c r="A124" s="507">
        <f>IFERROR(VLOOKUP(H124,PartyStorage,2, FALSE),0)</f>
        <v>0</v>
      </c>
      <c r="B124" s="993"/>
      <c r="C124" s="962"/>
      <c r="D124" s="974"/>
      <c r="E124" s="961" t="str">
        <f t="shared" si="1"/>
        <v/>
      </c>
      <c r="F124" s="962"/>
      <c r="G124" s="964"/>
      <c r="H124" s="971"/>
      <c r="I124" s="965"/>
      <c r="M124" s="966"/>
      <c r="N124" s="346">
        <f>IFERROR(VLOOKUP(G124,Ch4_Storage,2, FALSE),0)</f>
        <v>0</v>
      </c>
    </row>
    <row r="125" ht="18.75" customHeight="1">
      <c r="A125" s="507">
        <f>IFERROR(VLOOKUP(H125,PartyStorage,2, FALSE),0)</f>
        <v>0</v>
      </c>
      <c r="B125" s="994"/>
      <c r="C125" s="955"/>
      <c r="D125" s="975"/>
      <c r="E125" s="954" t="str">
        <f t="shared" si="1"/>
        <v/>
      </c>
      <c r="F125" s="955"/>
      <c r="G125" s="956"/>
      <c r="H125" s="978"/>
      <c r="I125" s="957"/>
      <c r="M125" s="378"/>
      <c r="N125" s="346">
        <f>IFERROR(VLOOKUP(G125,Ch4_Storage,2, FALSE),0)</f>
        <v>0</v>
      </c>
    </row>
    <row r="126" ht="18.75" customHeight="1">
      <c r="A126" s="507">
        <f>IFERROR(VLOOKUP(H126,PartyStorage,2, FALSE),0)</f>
        <v>0</v>
      </c>
      <c r="B126" s="993"/>
      <c r="C126" s="962"/>
      <c r="D126" s="974"/>
      <c r="E126" s="961" t="str">
        <f t="shared" si="1"/>
        <v/>
      </c>
      <c r="F126" s="962"/>
      <c r="G126" s="964"/>
      <c r="H126" s="971"/>
      <c r="I126" s="965"/>
      <c r="M126" s="966"/>
      <c r="N126" s="346">
        <f>IFERROR(VLOOKUP(G126,Ch4_Storage,2, FALSE),0)</f>
        <v>0</v>
      </c>
    </row>
    <row r="127" ht="18.75" customHeight="1">
      <c r="A127" s="507">
        <f>IFERROR(VLOOKUP(H127,PartyStorage,2, FALSE),0)</f>
        <v>0</v>
      </c>
      <c r="B127" s="994"/>
      <c r="C127" s="955"/>
      <c r="D127" s="975"/>
      <c r="E127" s="954" t="str">
        <f t="shared" si="1"/>
        <v/>
      </c>
      <c r="F127" s="955"/>
      <c r="G127" s="956"/>
      <c r="H127" s="978"/>
      <c r="I127" s="957"/>
      <c r="M127" s="378"/>
      <c r="N127" s="346">
        <f>IFERROR(VLOOKUP(G127,Ch4_Storage,2, FALSE),0)</f>
        <v>0</v>
      </c>
    </row>
    <row r="128" ht="18.75" customHeight="1">
      <c r="A128" s="507">
        <f>IFERROR(VLOOKUP(H128,PartyStorage,2, FALSE),0)</f>
        <v>0</v>
      </c>
      <c r="B128" s="993"/>
      <c r="C128" s="962"/>
      <c r="D128" s="974"/>
      <c r="E128" s="961" t="str">
        <f t="shared" si="1"/>
        <v/>
      </c>
      <c r="F128" s="962"/>
      <c r="G128" s="964"/>
      <c r="H128" s="971"/>
      <c r="I128" s="965"/>
      <c r="M128" s="966"/>
      <c r="N128" s="346">
        <f>IFERROR(VLOOKUP(G128,Ch4_Storage,2, FALSE),0)</f>
        <v>0</v>
      </c>
    </row>
    <row r="129" ht="18.75" customHeight="1">
      <c r="A129" s="507">
        <f>IFERROR(VLOOKUP(H129,PartyStorage,2, FALSE),0)</f>
        <v>0</v>
      </c>
      <c r="B129" s="994"/>
      <c r="C129" s="955"/>
      <c r="D129" s="975"/>
      <c r="E129" s="954" t="str">
        <f t="shared" si="1"/>
        <v/>
      </c>
      <c r="F129" s="955"/>
      <c r="G129" s="956"/>
      <c r="H129" s="978"/>
      <c r="I129" s="957"/>
      <c r="M129" s="378"/>
      <c r="N129" s="346">
        <f>IFERROR(VLOOKUP(G129,Ch4_Storage,2, FALSE),0)</f>
        <v>0</v>
      </c>
    </row>
    <row r="130" ht="18.75" customHeight="1">
      <c r="A130" s="507">
        <f>IFERROR(VLOOKUP(H130,PartyStorage,2, FALSE),0)</f>
        <v>0</v>
      </c>
      <c r="B130" s="993"/>
      <c r="C130" s="962"/>
      <c r="D130" s="974"/>
      <c r="E130" s="961" t="str">
        <f t="shared" si="1"/>
        <v/>
      </c>
      <c r="F130" s="962"/>
      <c r="G130" s="964"/>
      <c r="H130" s="971"/>
      <c r="I130" s="965"/>
      <c r="M130" s="966"/>
      <c r="N130" s="346">
        <f>IFERROR(VLOOKUP(G130,Ch4_Storage,2, FALSE),0)</f>
        <v>0</v>
      </c>
    </row>
    <row r="131" ht="18.75" customHeight="1">
      <c r="A131" s="507">
        <f>IFERROR(VLOOKUP(H131,PartyStorage,2, FALSE),0)</f>
        <v>0</v>
      </c>
      <c r="B131" s="994"/>
      <c r="C131" s="955"/>
      <c r="D131" s="975"/>
      <c r="E131" s="954" t="str">
        <f t="shared" si="1"/>
        <v/>
      </c>
      <c r="F131" s="955"/>
      <c r="G131" s="956"/>
      <c r="H131" s="978"/>
      <c r="I131" s="957"/>
      <c r="M131" s="378"/>
      <c r="N131" s="346">
        <f>IFERROR(VLOOKUP(G131,Ch4_Storage,2, FALSE),0)</f>
        <v>0</v>
      </c>
    </row>
    <row r="132" ht="18.75" customHeight="1">
      <c r="A132" s="507">
        <f>IFERROR(VLOOKUP(H132,PartyStorage,2, FALSE),0)</f>
        <v>0</v>
      </c>
      <c r="B132" s="993"/>
      <c r="C132" s="962"/>
      <c r="D132" s="974"/>
      <c r="E132" s="961" t="str">
        <f t="shared" si="1"/>
        <v/>
      </c>
      <c r="F132" s="962"/>
      <c r="G132" s="964"/>
      <c r="H132" s="971"/>
      <c r="I132" s="965"/>
      <c r="M132" s="966"/>
      <c r="N132" s="346">
        <f>IFERROR(VLOOKUP(G132,Ch4_Storage,2, FALSE),0)</f>
        <v>0</v>
      </c>
    </row>
    <row r="133" ht="18.75" customHeight="1">
      <c r="A133" s="507">
        <f>IFERROR(VLOOKUP(H133,PartyStorage,2, FALSE),0)</f>
        <v>0</v>
      </c>
      <c r="B133" s="994"/>
      <c r="C133" s="955"/>
      <c r="D133" s="975"/>
      <c r="E133" s="954" t="str">
        <f t="shared" si="1"/>
        <v/>
      </c>
      <c r="F133" s="955"/>
      <c r="G133" s="956"/>
      <c r="H133" s="978"/>
      <c r="I133" s="957"/>
      <c r="M133" s="378"/>
      <c r="N133" s="346">
        <f>IFERROR(VLOOKUP(G133,Ch4_Storage,2, FALSE),0)</f>
        <v>0</v>
      </c>
    </row>
    <row r="134" ht="18.75" customHeight="1">
      <c r="A134" s="507">
        <f>IFERROR(VLOOKUP(H134,PartyStorage,2, FALSE),0)</f>
        <v>0</v>
      </c>
      <c r="B134" s="993"/>
      <c r="C134" s="962"/>
      <c r="D134" s="974"/>
      <c r="E134" s="961" t="str">
        <f t="shared" si="1"/>
        <v/>
      </c>
      <c r="F134" s="962"/>
      <c r="G134" s="964"/>
      <c r="H134" s="971"/>
      <c r="I134" s="965"/>
      <c r="M134" s="966"/>
      <c r="N134" s="346">
        <f>IFERROR(VLOOKUP(G134,Ch4_Storage,2, FALSE),0)</f>
        <v>0</v>
      </c>
    </row>
    <row r="135" ht="18.75" customHeight="1">
      <c r="A135" s="507">
        <f>IFERROR(VLOOKUP(H135,PartyStorage,2, FALSE),0)</f>
        <v>0</v>
      </c>
      <c r="B135" s="994"/>
      <c r="C135" s="955"/>
      <c r="D135" s="975"/>
      <c r="E135" s="954" t="str">
        <f t="shared" si="1"/>
        <v/>
      </c>
      <c r="F135" s="955"/>
      <c r="G135" s="956"/>
      <c r="H135" s="978"/>
      <c r="I135" s="957"/>
      <c r="M135" s="378"/>
      <c r="N135" s="346">
        <f>IFERROR(VLOOKUP(G135,Ch4_Storage,2, FALSE),0)</f>
        <v>0</v>
      </c>
    </row>
    <row r="136" ht="18.75" customHeight="1">
      <c r="A136" s="507">
        <f>IFERROR(VLOOKUP(H136,PartyStorage,2, FALSE),0)</f>
        <v>0</v>
      </c>
      <c r="B136" s="993"/>
      <c r="C136" s="962"/>
      <c r="D136" s="974"/>
      <c r="E136" s="961" t="str">
        <f t="shared" si="1"/>
        <v/>
      </c>
      <c r="F136" s="962"/>
      <c r="G136" s="964"/>
      <c r="H136" s="971"/>
      <c r="I136" s="965"/>
      <c r="M136" s="966"/>
      <c r="N136" s="346">
        <f>IFERROR(VLOOKUP(G136,Ch4_Storage,2, FALSE),0)</f>
        <v>0</v>
      </c>
    </row>
    <row r="137" ht="18.75" customHeight="1">
      <c r="A137" s="507">
        <f>IFERROR(VLOOKUP(H137,PartyStorage,2, FALSE),0)</f>
        <v>0</v>
      </c>
      <c r="B137" s="994"/>
      <c r="C137" s="955"/>
      <c r="D137" s="975"/>
      <c r="E137" s="954" t="str">
        <f t="shared" si="1"/>
        <v/>
      </c>
      <c r="F137" s="955"/>
      <c r="G137" s="956"/>
      <c r="H137" s="978"/>
      <c r="I137" s="957"/>
      <c r="M137" s="378"/>
      <c r="N137" s="346">
        <f>IFERROR(VLOOKUP(G137,Ch4_Storage,2, FALSE),0)</f>
        <v>0</v>
      </c>
    </row>
    <row r="138" ht="18.75" customHeight="1">
      <c r="A138" s="507">
        <f>IFERROR(VLOOKUP(H138,PartyStorage,2, FALSE),0)</f>
        <v>0</v>
      </c>
      <c r="B138" s="993"/>
      <c r="C138" s="962"/>
      <c r="D138" s="974"/>
      <c r="E138" s="961" t="str">
        <f t="shared" si="1"/>
        <v/>
      </c>
      <c r="F138" s="962"/>
      <c r="G138" s="964"/>
      <c r="H138" s="971"/>
      <c r="I138" s="965"/>
      <c r="M138" s="966"/>
      <c r="N138" s="346">
        <f>IFERROR(VLOOKUP(G138,Ch4_Storage,2, FALSE),0)</f>
        <v>0</v>
      </c>
    </row>
    <row r="139" ht="18.75" customHeight="1">
      <c r="A139" s="507">
        <f>IFERROR(VLOOKUP(H139,PartyStorage,2, FALSE),0)</f>
        <v>0</v>
      </c>
      <c r="B139" s="994"/>
      <c r="C139" s="955"/>
      <c r="D139" s="975"/>
      <c r="E139" s="954" t="str">
        <f t="shared" si="1"/>
        <v/>
      </c>
      <c r="F139" s="955"/>
      <c r="G139" s="956"/>
      <c r="H139" s="978"/>
      <c r="I139" s="957"/>
      <c r="M139" s="378"/>
      <c r="N139" s="346">
        <f>IFERROR(VLOOKUP(G139,Ch4_Storage,2, FALSE),0)</f>
        <v>0</v>
      </c>
    </row>
    <row r="140" ht="18.75" customHeight="1">
      <c r="A140" s="507">
        <f>IFERROR(VLOOKUP(H140,PartyStorage,2, FALSE),0)</f>
        <v>0</v>
      </c>
      <c r="B140" s="993"/>
      <c r="C140" s="962"/>
      <c r="D140" s="974"/>
      <c r="E140" s="961" t="str">
        <f t="shared" si="1"/>
        <v/>
      </c>
      <c r="F140" s="962"/>
      <c r="G140" s="964"/>
      <c r="H140" s="971"/>
      <c r="I140" s="965"/>
      <c r="M140" s="966"/>
      <c r="N140" s="346">
        <f>IFERROR(VLOOKUP(G140,Ch4_Storage,2, FALSE),0)</f>
        <v>0</v>
      </c>
    </row>
    <row r="141" ht="18.75" customHeight="1">
      <c r="A141" s="507">
        <f>IFERROR(VLOOKUP(H141,PartyStorage,2, FALSE),0)</f>
        <v>0</v>
      </c>
      <c r="B141" s="994"/>
      <c r="C141" s="955"/>
      <c r="D141" s="975"/>
      <c r="E141" s="954" t="str">
        <f t="shared" si="1"/>
        <v/>
      </c>
      <c r="F141" s="955"/>
      <c r="G141" s="956"/>
      <c r="H141" s="978"/>
      <c r="I141" s="957"/>
      <c r="M141" s="378"/>
      <c r="N141" s="346">
        <f>IFERROR(VLOOKUP(G141,Ch4_Storage,2, FALSE),0)</f>
        <v>0</v>
      </c>
    </row>
    <row r="142" ht="18.75" customHeight="1">
      <c r="A142" s="507">
        <f>IFERROR(VLOOKUP(H142,PartyStorage,2, FALSE),0)</f>
        <v>0</v>
      </c>
      <c r="B142" s="993"/>
      <c r="C142" s="962"/>
      <c r="D142" s="974"/>
      <c r="E142" s="961" t="str">
        <f t="shared" si="1"/>
        <v/>
      </c>
      <c r="F142" s="962"/>
      <c r="G142" s="964"/>
      <c r="H142" s="971"/>
      <c r="I142" s="965"/>
      <c r="M142" s="966"/>
      <c r="N142" s="346">
        <f>IFERROR(VLOOKUP(G142,Ch4_Storage,2, FALSE),0)</f>
        <v>0</v>
      </c>
    </row>
    <row r="143" ht="18.75" customHeight="1">
      <c r="A143" s="507">
        <f>IFERROR(VLOOKUP(H143,PartyStorage,2, FALSE),0)</f>
        <v>0</v>
      </c>
      <c r="B143" s="994"/>
      <c r="C143" s="955"/>
      <c r="D143" s="975"/>
      <c r="E143" s="954" t="str">
        <f t="shared" si="1"/>
        <v/>
      </c>
      <c r="F143" s="955"/>
      <c r="G143" s="956"/>
      <c r="H143" s="978"/>
      <c r="I143" s="957"/>
      <c r="M143" s="378"/>
      <c r="N143" s="346">
        <f>IFERROR(VLOOKUP(G143,Ch4_Storage,2, FALSE),0)</f>
        <v>0</v>
      </c>
    </row>
    <row r="144" ht="18.75" customHeight="1">
      <c r="A144" s="507">
        <f>IFERROR(VLOOKUP(H144,PartyStorage,2, FALSE),0)</f>
        <v>0</v>
      </c>
      <c r="B144" s="993"/>
      <c r="C144" s="962"/>
      <c r="D144" s="974"/>
      <c r="E144" s="961" t="str">
        <f t="shared" si="1"/>
        <v/>
      </c>
      <c r="F144" s="962"/>
      <c r="G144" s="964"/>
      <c r="H144" s="971"/>
      <c r="I144" s="965"/>
      <c r="M144" s="966"/>
      <c r="N144" s="346">
        <f>IFERROR(VLOOKUP(G144,Ch4_Storage,2, FALSE),0)</f>
        <v>0</v>
      </c>
    </row>
    <row r="145" ht="18.75" customHeight="1">
      <c r="A145" s="507">
        <f>IFERROR(VLOOKUP(H145,PartyStorage,2, FALSE),0)</f>
        <v>0</v>
      </c>
      <c r="B145" s="994"/>
      <c r="C145" s="955"/>
      <c r="D145" s="975"/>
      <c r="E145" s="954" t="str">
        <f t="shared" si="1"/>
        <v/>
      </c>
      <c r="F145" s="955"/>
      <c r="G145" s="956"/>
      <c r="H145" s="978"/>
      <c r="I145" s="957"/>
      <c r="M145" s="378"/>
      <c r="N145" s="346">
        <f>IFERROR(VLOOKUP(G145,Ch4_Storage,2, FALSE),0)</f>
        <v>0</v>
      </c>
    </row>
    <row r="146" ht="18.75" customHeight="1">
      <c r="A146" s="507">
        <f>IFERROR(VLOOKUP(H146,PartyStorage,2, FALSE),0)</f>
        <v>0</v>
      </c>
      <c r="B146" s="993"/>
      <c r="C146" s="962"/>
      <c r="D146" s="974"/>
      <c r="E146" s="961" t="str">
        <f t="shared" si="1"/>
        <v/>
      </c>
      <c r="F146" s="962"/>
      <c r="G146" s="964"/>
      <c r="H146" s="971"/>
      <c r="I146" s="965"/>
      <c r="M146" s="966"/>
      <c r="N146" s="346">
        <f>IFERROR(VLOOKUP(G146,Ch4_Storage,2, FALSE),0)</f>
        <v>0</v>
      </c>
    </row>
    <row r="147" ht="18.75" customHeight="1">
      <c r="A147" s="507">
        <f>IFERROR(VLOOKUP(H147,PartyStorage,2, FALSE),0)</f>
        <v>0</v>
      </c>
      <c r="B147" s="994"/>
      <c r="C147" s="955"/>
      <c r="D147" s="975"/>
      <c r="E147" s="954" t="str">
        <f t="shared" si="1"/>
        <v/>
      </c>
      <c r="F147" s="955"/>
      <c r="G147" s="956"/>
      <c r="H147" s="978"/>
      <c r="I147" s="957"/>
      <c r="M147" s="378"/>
      <c r="N147" s="346">
        <f>IFERROR(VLOOKUP(G147,Ch4_Storage,2, FALSE),0)</f>
        <v>0</v>
      </c>
    </row>
    <row r="148" ht="18.75" customHeight="1">
      <c r="A148" s="507">
        <f>IFERROR(VLOOKUP(H148,PartyStorage,2, FALSE),0)</f>
        <v>0</v>
      </c>
      <c r="B148" s="993"/>
      <c r="C148" s="962"/>
      <c r="D148" s="974"/>
      <c r="E148" s="961" t="str">
        <f t="shared" si="1"/>
        <v/>
      </c>
      <c r="F148" s="962"/>
      <c r="G148" s="964"/>
      <c r="H148" s="971"/>
      <c r="I148" s="965"/>
      <c r="M148" s="966"/>
      <c r="N148" s="346">
        <f>IFERROR(VLOOKUP(G148,Ch4_Storage,2, FALSE),0)</f>
        <v>0</v>
      </c>
    </row>
    <row r="149" ht="18.75" customHeight="1">
      <c r="A149" s="507">
        <f>IFERROR(VLOOKUP(H149,PartyStorage,2, FALSE),0)</f>
        <v>0</v>
      </c>
      <c r="B149" s="994"/>
      <c r="C149" s="955"/>
      <c r="D149" s="975"/>
      <c r="E149" s="954" t="str">
        <f t="shared" si="1"/>
        <v/>
      </c>
      <c r="F149" s="955"/>
      <c r="G149" s="956"/>
      <c r="H149" s="978"/>
      <c r="I149" s="957"/>
      <c r="M149" s="378"/>
      <c r="N149" s="346">
        <f>IFERROR(VLOOKUP(G149,Ch4_Storage,2, FALSE),0)</f>
        <v>0</v>
      </c>
    </row>
    <row r="150" ht="18.75" customHeight="1">
      <c r="A150" s="507">
        <f>IFERROR(VLOOKUP(H150,PartyStorage,2, FALSE),0)</f>
        <v>0</v>
      </c>
      <c r="B150" s="993"/>
      <c r="C150" s="962"/>
      <c r="D150" s="974"/>
      <c r="E150" s="961" t="str">
        <f t="shared" si="1"/>
        <v/>
      </c>
      <c r="F150" s="962"/>
      <c r="G150" s="964"/>
      <c r="H150" s="971"/>
      <c r="I150" s="965"/>
      <c r="M150" s="966"/>
      <c r="N150" s="346">
        <f>IFERROR(VLOOKUP(G150,Ch4_Storage,2, FALSE),0)</f>
        <v>0</v>
      </c>
    </row>
    <row r="151" ht="18.75" customHeight="1">
      <c r="A151" s="507">
        <f>IFERROR(VLOOKUP(H151,PartyStorage,2, FALSE),0)</f>
        <v>0</v>
      </c>
      <c r="B151" s="994"/>
      <c r="C151" s="955"/>
      <c r="D151" s="975"/>
      <c r="E151" s="954" t="str">
        <f t="shared" si="1"/>
        <v/>
      </c>
      <c r="F151" s="955"/>
      <c r="G151" s="956"/>
      <c r="H151" s="978"/>
      <c r="I151" s="957"/>
      <c r="M151" s="378"/>
      <c r="N151" s="346">
        <f>IFERROR(VLOOKUP(G151,Ch4_Storage,2, FALSE),0)</f>
        <v>0</v>
      </c>
    </row>
    <row r="152" ht="18.75" customHeight="1">
      <c r="A152" s="507">
        <f>IFERROR(VLOOKUP(H152,PartyStorage,2, FALSE),0)</f>
        <v>0</v>
      </c>
      <c r="B152" s="993"/>
      <c r="C152" s="962"/>
      <c r="D152" s="974"/>
      <c r="E152" s="961" t="str">
        <f t="shared" si="1"/>
        <v/>
      </c>
      <c r="F152" s="962"/>
      <c r="G152" s="964"/>
      <c r="H152" s="971"/>
      <c r="I152" s="965"/>
      <c r="M152" s="966"/>
      <c r="N152" s="346">
        <f>IFERROR(VLOOKUP(G152,Ch4_Storage,2, FALSE),0)</f>
        <v>0</v>
      </c>
    </row>
    <row r="153" ht="18.75" customHeight="1">
      <c r="A153" s="507">
        <f>IFERROR(VLOOKUP(H153,PartyStorage,2, FALSE),0)</f>
        <v>0</v>
      </c>
      <c r="B153" s="994"/>
      <c r="C153" s="955"/>
      <c r="D153" s="975"/>
      <c r="E153" s="954" t="str">
        <f t="shared" si="1"/>
        <v/>
      </c>
      <c r="F153" s="955"/>
      <c r="G153" s="956"/>
      <c r="H153" s="978"/>
      <c r="I153" s="957"/>
      <c r="M153" s="378"/>
      <c r="N153" s="346">
        <f>IFERROR(VLOOKUP(G153,Ch4_Storage,2, FALSE),0)</f>
        <v>0</v>
      </c>
    </row>
    <row r="154" ht="18.75" customHeight="1">
      <c r="A154" s="507">
        <f>IFERROR(VLOOKUP(H154,PartyStorage,2, FALSE),0)</f>
        <v>0</v>
      </c>
      <c r="B154" s="993"/>
      <c r="C154" s="962"/>
      <c r="D154" s="974"/>
      <c r="E154" s="961" t="str">
        <f t="shared" si="1"/>
        <v/>
      </c>
      <c r="F154" s="962"/>
      <c r="G154" s="964"/>
      <c r="H154" s="971"/>
      <c r="I154" s="965"/>
      <c r="M154" s="966"/>
      <c r="N154" s="346">
        <f>IFERROR(VLOOKUP(G154,Ch4_Storage,2, FALSE),0)</f>
        <v>0</v>
      </c>
    </row>
    <row r="155" ht="18.75" customHeight="1">
      <c r="A155" s="507">
        <f>IFERROR(VLOOKUP(H155,PartyStorage,2, FALSE),0)</f>
        <v>0</v>
      </c>
      <c r="B155" s="994"/>
      <c r="C155" s="955"/>
      <c r="D155" s="975"/>
      <c r="E155" s="954" t="str">
        <f t="shared" si="1"/>
        <v/>
      </c>
      <c r="F155" s="955"/>
      <c r="G155" s="956"/>
      <c r="H155" s="978"/>
      <c r="I155" s="957"/>
      <c r="M155" s="378"/>
      <c r="N155" s="346">
        <f>IFERROR(VLOOKUP(G155,Ch4_Storage,2, FALSE),0)</f>
        <v>0</v>
      </c>
    </row>
    <row r="156" ht="18.75" customHeight="1">
      <c r="A156" s="507">
        <f>IFERROR(VLOOKUP(H156,PartyStorage,2, FALSE),0)</f>
        <v>0</v>
      </c>
      <c r="B156" s="993"/>
      <c r="C156" s="962"/>
      <c r="D156" s="974"/>
      <c r="E156" s="961" t="str">
        <f t="shared" si="1"/>
        <v/>
      </c>
      <c r="F156" s="962"/>
      <c r="G156" s="964"/>
      <c r="H156" s="971"/>
      <c r="I156" s="965"/>
      <c r="M156" s="966"/>
      <c r="N156" s="346">
        <f>IFERROR(VLOOKUP(G156,Ch4_Storage,2, FALSE),0)</f>
        <v>0</v>
      </c>
    </row>
    <row r="157" ht="18.75" customHeight="1">
      <c r="A157" s="507">
        <f>IFERROR(VLOOKUP(H157,PartyStorage,2, FALSE),0)</f>
        <v>0</v>
      </c>
      <c r="B157" s="994"/>
      <c r="C157" s="955"/>
      <c r="D157" s="975"/>
      <c r="E157" s="954" t="str">
        <f t="shared" si="1"/>
        <v/>
      </c>
      <c r="F157" s="955"/>
      <c r="G157" s="956"/>
      <c r="H157" s="978"/>
      <c r="I157" s="957"/>
      <c r="M157" s="378"/>
      <c r="N157" s="346">
        <f>IFERROR(VLOOKUP(G157,Ch4_Storage,2, FALSE),0)</f>
        <v>0</v>
      </c>
    </row>
    <row r="158" ht="18.75" customHeight="1">
      <c r="A158" s="507">
        <f>IFERROR(VLOOKUP(H158,PartyStorage,2, FALSE),0)</f>
        <v>0</v>
      </c>
      <c r="B158" s="993"/>
      <c r="C158" s="962"/>
      <c r="D158" s="974"/>
      <c r="E158" s="961" t="str">
        <f t="shared" si="1"/>
        <v/>
      </c>
      <c r="F158" s="962"/>
      <c r="G158" s="964"/>
      <c r="H158" s="971"/>
      <c r="I158" s="965"/>
      <c r="M158" s="966"/>
      <c r="N158" s="346">
        <f>IFERROR(VLOOKUP(G158,Ch4_Storage,2, FALSE),0)</f>
        <v>0</v>
      </c>
    </row>
    <row r="159" ht="18.75" customHeight="1">
      <c r="A159" s="507">
        <f>IFERROR(VLOOKUP(H159,PartyStorage,2, FALSE),0)</f>
        <v>0</v>
      </c>
      <c r="B159" s="994"/>
      <c r="C159" s="955"/>
      <c r="D159" s="975"/>
      <c r="E159" s="954" t="str">
        <f t="shared" si="1"/>
        <v/>
      </c>
      <c r="F159" s="955"/>
      <c r="G159" s="956"/>
      <c r="H159" s="978"/>
      <c r="I159" s="957"/>
      <c r="M159" s="378"/>
      <c r="N159" s="346">
        <f>IFERROR(VLOOKUP(G159,Ch4_Storage,2, FALSE),0)</f>
        <v>0</v>
      </c>
    </row>
    <row r="160" ht="18.75" customHeight="1">
      <c r="A160" s="507">
        <f>IFERROR(VLOOKUP(H160,PartyStorage,2, FALSE),0)</f>
        <v>0</v>
      </c>
      <c r="B160" s="993"/>
      <c r="C160" s="962"/>
      <c r="D160" s="974"/>
      <c r="E160" s="961" t="str">
        <f t="shared" si="1"/>
        <v/>
      </c>
      <c r="F160" s="962"/>
      <c r="G160" s="964"/>
      <c r="H160" s="971"/>
      <c r="I160" s="965"/>
      <c r="M160" s="966"/>
      <c r="N160" s="346">
        <f>IFERROR(VLOOKUP(G160,Ch4_Storage,2, FALSE),0)</f>
        <v>0</v>
      </c>
    </row>
    <row r="161" ht="18.75" customHeight="1">
      <c r="A161" s="507">
        <f>IFERROR(VLOOKUP(H161,PartyStorage,2, FALSE),0)</f>
        <v>0</v>
      </c>
      <c r="B161" s="994"/>
      <c r="C161" s="955"/>
      <c r="D161" s="975"/>
      <c r="E161" s="954" t="str">
        <f t="shared" si="1"/>
        <v/>
      </c>
      <c r="F161" s="955"/>
      <c r="G161" s="956"/>
      <c r="H161" s="978"/>
      <c r="I161" s="957"/>
      <c r="M161" s="378"/>
      <c r="N161" s="346">
        <f>IFERROR(VLOOKUP(G161,Ch4_Storage,2, FALSE),0)</f>
        <v>0</v>
      </c>
    </row>
    <row r="162" ht="18.75" customHeight="1">
      <c r="A162" s="507">
        <f>IFERROR(VLOOKUP(H162,PartyStorage,2, FALSE),0)</f>
        <v>0</v>
      </c>
      <c r="B162" s="993"/>
      <c r="C162" s="962"/>
      <c r="D162" s="974"/>
      <c r="E162" s="961" t="str">
        <f t="shared" si="1"/>
        <v/>
      </c>
      <c r="F162" s="962"/>
      <c r="G162" s="964"/>
      <c r="H162" s="971"/>
      <c r="I162" s="965"/>
      <c r="M162" s="966"/>
      <c r="N162" s="346">
        <f>IFERROR(VLOOKUP(G162,Ch4_Storage,2, FALSE),0)</f>
        <v>0</v>
      </c>
    </row>
    <row r="163" ht="18.75" customHeight="1">
      <c r="A163" s="507">
        <f>IFERROR(VLOOKUP(H163,PartyStorage,2, FALSE),0)</f>
        <v>0</v>
      </c>
      <c r="B163" s="994"/>
      <c r="C163" s="955"/>
      <c r="D163" s="975"/>
      <c r="E163" s="954" t="str">
        <f t="shared" si="1"/>
        <v/>
      </c>
      <c r="F163" s="955"/>
      <c r="G163" s="956"/>
      <c r="H163" s="978"/>
      <c r="I163" s="957"/>
      <c r="M163" s="378"/>
      <c r="N163" s="346">
        <f>IFERROR(VLOOKUP(G163,Ch4_Storage,2, FALSE),0)</f>
        <v>0</v>
      </c>
    </row>
    <row r="164" ht="18.75" customHeight="1">
      <c r="A164" s="507">
        <f>IFERROR(VLOOKUP(H164,PartyStorage,2, FALSE),0)</f>
        <v>0</v>
      </c>
      <c r="B164" s="993"/>
      <c r="C164" s="962"/>
      <c r="D164" s="974"/>
      <c r="E164" s="961" t="str">
        <f t="shared" si="1"/>
        <v/>
      </c>
      <c r="F164" s="962"/>
      <c r="G164" s="964"/>
      <c r="H164" s="971"/>
      <c r="I164" s="965"/>
      <c r="M164" s="966"/>
      <c r="N164" s="346">
        <f>IFERROR(VLOOKUP(G164,Ch4_Storage,2, FALSE),0)</f>
        <v>0</v>
      </c>
    </row>
    <row r="165" ht="18.75" customHeight="1">
      <c r="A165" s="507">
        <f>IFERROR(VLOOKUP(H165,PartyStorage,2, FALSE),0)</f>
        <v>0</v>
      </c>
      <c r="B165" s="994"/>
      <c r="C165" s="955"/>
      <c r="D165" s="975"/>
      <c r="E165" s="954" t="str">
        <f t="shared" si="1"/>
        <v/>
      </c>
      <c r="F165" s="955"/>
      <c r="G165" s="956"/>
      <c r="H165" s="978"/>
      <c r="I165" s="957"/>
      <c r="M165" s="378"/>
      <c r="N165" s="346">
        <f>IFERROR(VLOOKUP(G165,Ch4_Storage,2, FALSE),0)</f>
        <v>0</v>
      </c>
    </row>
    <row r="166" ht="18.75" customHeight="1">
      <c r="A166" s="507">
        <f>IFERROR(VLOOKUP(H166,PartyStorage,2, FALSE),0)</f>
        <v>0</v>
      </c>
      <c r="B166" s="993"/>
      <c r="C166" s="962"/>
      <c r="D166" s="974"/>
      <c r="E166" s="961" t="str">
        <f t="shared" si="1"/>
        <v/>
      </c>
      <c r="F166" s="962"/>
      <c r="G166" s="964"/>
      <c r="H166" s="971"/>
      <c r="I166" s="965"/>
      <c r="M166" s="966"/>
      <c r="N166" s="346">
        <f>IFERROR(VLOOKUP(G166,Ch4_Storage,2, FALSE),0)</f>
        <v>0</v>
      </c>
    </row>
    <row r="167" ht="18.75" customHeight="1">
      <c r="A167" s="507">
        <f>IFERROR(VLOOKUP(H167,PartyStorage,2, FALSE),0)</f>
        <v>0</v>
      </c>
      <c r="B167" s="994"/>
      <c r="C167" s="955"/>
      <c r="D167" s="975"/>
      <c r="E167" s="954" t="str">
        <f t="shared" si="1"/>
        <v/>
      </c>
      <c r="F167" s="955"/>
      <c r="G167" s="956"/>
      <c r="H167" s="978"/>
      <c r="I167" s="957"/>
      <c r="M167" s="378"/>
      <c r="N167" s="346">
        <f>IFERROR(VLOOKUP(G167,Ch4_Storage,2, FALSE),0)</f>
        <v>0</v>
      </c>
    </row>
    <row r="168" ht="18.75" customHeight="1">
      <c r="A168" s="507">
        <f>IFERROR(VLOOKUP(H168,PartyStorage,2, FALSE),0)</f>
        <v>0</v>
      </c>
      <c r="B168" s="993"/>
      <c r="C168" s="962"/>
      <c r="D168" s="974"/>
      <c r="E168" s="961" t="str">
        <f t="shared" si="1"/>
        <v/>
      </c>
      <c r="F168" s="962"/>
      <c r="G168" s="964"/>
      <c r="H168" s="971"/>
      <c r="I168" s="965"/>
      <c r="M168" s="966"/>
      <c r="N168" s="346">
        <f>IFERROR(VLOOKUP(G168,Ch4_Storage,2, FALSE),0)</f>
        <v>0</v>
      </c>
    </row>
    <row r="169" ht="18.75" customHeight="1">
      <c r="A169" s="507">
        <f>IFERROR(VLOOKUP(H169,PartyStorage,2, FALSE),0)</f>
        <v>0</v>
      </c>
      <c r="B169" s="994"/>
      <c r="C169" s="955"/>
      <c r="D169" s="975"/>
      <c r="E169" s="954" t="str">
        <f t="shared" si="1"/>
        <v/>
      </c>
      <c r="F169" s="955"/>
      <c r="G169" s="956"/>
      <c r="H169" s="978"/>
      <c r="I169" s="957"/>
      <c r="M169" s="378"/>
      <c r="N169" s="346">
        <f>IFERROR(VLOOKUP(G169,Ch4_Storage,2, FALSE),0)</f>
        <v>0</v>
      </c>
    </row>
    <row r="170" ht="18.75" customHeight="1">
      <c r="A170" s="507">
        <f>IFERROR(VLOOKUP(H170,PartyStorage,2, FALSE),0)</f>
        <v>0</v>
      </c>
      <c r="B170" s="993"/>
      <c r="C170" s="962"/>
      <c r="D170" s="974"/>
      <c r="E170" s="961" t="str">
        <f t="shared" si="1"/>
        <v/>
      </c>
      <c r="F170" s="962"/>
      <c r="G170" s="964"/>
      <c r="H170" s="971"/>
      <c r="I170" s="965"/>
      <c r="M170" s="966"/>
      <c r="N170" s="346">
        <f>IFERROR(VLOOKUP(G170,Ch4_Storage,2, FALSE),0)</f>
        <v>0</v>
      </c>
    </row>
    <row r="171" ht="18.75" customHeight="1">
      <c r="A171" s="507">
        <f>IFERROR(VLOOKUP(H171,PartyStorage,2, FALSE),0)</f>
        <v>0</v>
      </c>
      <c r="B171" s="994"/>
      <c r="C171" s="955"/>
      <c r="D171" s="975"/>
      <c r="E171" s="954" t="str">
        <f t="shared" si="1"/>
        <v/>
      </c>
      <c r="F171" s="955"/>
      <c r="G171" s="956"/>
      <c r="H171" s="978"/>
      <c r="I171" s="957"/>
      <c r="M171" s="378"/>
      <c r="N171" s="346">
        <f>IFERROR(VLOOKUP(G171,Ch4_Storage,2, FALSE),0)</f>
        <v>0</v>
      </c>
    </row>
    <row r="172" ht="18.75" customHeight="1">
      <c r="A172" s="507">
        <f>IFERROR(VLOOKUP(H172,PartyStorage,2, FALSE),0)</f>
        <v>0</v>
      </c>
      <c r="B172" s="993"/>
      <c r="C172" s="962"/>
      <c r="D172" s="974"/>
      <c r="E172" s="961" t="str">
        <f t="shared" si="1"/>
        <v/>
      </c>
      <c r="F172" s="962"/>
      <c r="G172" s="964"/>
      <c r="H172" s="971"/>
      <c r="I172" s="965"/>
      <c r="M172" s="966"/>
      <c r="N172" s="346">
        <f>IFERROR(VLOOKUP(G172,Ch4_Storage,2, FALSE),0)</f>
        <v>0</v>
      </c>
    </row>
    <row r="173" ht="18.75" customHeight="1">
      <c r="A173" s="507">
        <f>IFERROR(VLOOKUP(H173,PartyStorage,2, FALSE),0)</f>
        <v>0</v>
      </c>
      <c r="B173" s="994"/>
      <c r="C173" s="955"/>
      <c r="D173" s="975"/>
      <c r="E173" s="954" t="str">
        <f t="shared" si="1"/>
        <v/>
      </c>
      <c r="F173" s="955"/>
      <c r="G173" s="956"/>
      <c r="H173" s="978"/>
      <c r="I173" s="957"/>
      <c r="M173" s="378"/>
      <c r="N173" s="346">
        <f>IFERROR(VLOOKUP(G173,Ch4_Storage,2, FALSE),0)</f>
        <v>0</v>
      </c>
    </row>
    <row r="174" ht="18.75" customHeight="1">
      <c r="A174" s="507">
        <f>IFERROR(VLOOKUP(H174,PartyStorage,2, FALSE),0)</f>
        <v>0</v>
      </c>
      <c r="B174" s="993"/>
      <c r="C174" s="962"/>
      <c r="D174" s="974"/>
      <c r="E174" s="961" t="str">
        <f t="shared" si="1"/>
        <v/>
      </c>
      <c r="F174" s="962"/>
      <c r="G174" s="964"/>
      <c r="H174" s="971"/>
      <c r="I174" s="965"/>
      <c r="M174" s="966"/>
      <c r="N174" s="346">
        <f>IFERROR(VLOOKUP(G174,Ch4_Storage,2, FALSE),0)</f>
        <v>0</v>
      </c>
    </row>
    <row r="175" ht="18.75" customHeight="1">
      <c r="A175" s="507">
        <f>IFERROR(VLOOKUP(H175,PartyStorage,2, FALSE),0)</f>
        <v>0</v>
      </c>
      <c r="B175" s="994"/>
      <c r="C175" s="955"/>
      <c r="D175" s="975"/>
      <c r="E175" s="954" t="str">
        <f t="shared" si="1"/>
        <v/>
      </c>
      <c r="F175" s="955"/>
      <c r="G175" s="956"/>
      <c r="H175" s="978"/>
      <c r="I175" s="957"/>
      <c r="M175" s="378"/>
      <c r="N175" s="346">
        <f>IFERROR(VLOOKUP(G175,Ch4_Storage,2, FALSE),0)</f>
        <v>0</v>
      </c>
    </row>
    <row r="176" ht="18.75" customHeight="1">
      <c r="A176" s="507">
        <f>IFERROR(VLOOKUP(H176,PartyStorage,2, FALSE),0)</f>
        <v>0</v>
      </c>
      <c r="B176" s="993"/>
      <c r="C176" s="962"/>
      <c r="D176" s="974"/>
      <c r="E176" s="961" t="str">
        <f t="shared" si="1"/>
        <v/>
      </c>
      <c r="F176" s="962"/>
      <c r="G176" s="964"/>
      <c r="H176" s="971"/>
      <c r="I176" s="965"/>
      <c r="M176" s="966"/>
      <c r="N176" s="346">
        <f>IFERROR(VLOOKUP(G176,Ch4_Storage,2, FALSE),0)</f>
        <v>0</v>
      </c>
    </row>
    <row r="177" ht="18.75" customHeight="1">
      <c r="A177" s="507">
        <f>IFERROR(VLOOKUP(H177,PartyStorage,2, FALSE),0)</f>
        <v>0</v>
      </c>
      <c r="B177" s="994"/>
      <c r="C177" s="955"/>
      <c r="D177" s="975"/>
      <c r="E177" s="954" t="str">
        <f t="shared" si="1"/>
        <v/>
      </c>
      <c r="F177" s="955"/>
      <c r="G177" s="956"/>
      <c r="H177" s="978"/>
      <c r="I177" s="957"/>
      <c r="M177" s="378"/>
      <c r="N177" s="346">
        <f>IFERROR(VLOOKUP(G177,Ch4_Storage,2, FALSE),0)</f>
        <v>0</v>
      </c>
    </row>
    <row r="178" ht="18.75" customHeight="1">
      <c r="A178" s="507">
        <f>IFERROR(VLOOKUP(H178,PartyStorage,2, FALSE),0)</f>
        <v>0</v>
      </c>
      <c r="B178" s="993"/>
      <c r="C178" s="962"/>
      <c r="D178" s="974"/>
      <c r="E178" s="961" t="str">
        <f t="shared" si="1"/>
        <v/>
      </c>
      <c r="F178" s="962"/>
      <c r="G178" s="964"/>
      <c r="H178" s="971"/>
      <c r="I178" s="965"/>
      <c r="M178" s="966"/>
      <c r="N178" s="346">
        <f>IFERROR(VLOOKUP(G178,Ch4_Storage,2, FALSE),0)</f>
        <v>0</v>
      </c>
    </row>
    <row r="179" ht="18.75" customHeight="1">
      <c r="A179" s="507">
        <f>IFERROR(VLOOKUP(H179,PartyStorage,2, FALSE),0)</f>
        <v>0</v>
      </c>
      <c r="B179" s="994"/>
      <c r="C179" s="955"/>
      <c r="D179" s="975"/>
      <c r="E179" s="954" t="str">
        <f t="shared" si="1"/>
        <v/>
      </c>
      <c r="F179" s="955"/>
      <c r="G179" s="956"/>
      <c r="H179" s="978"/>
      <c r="I179" s="957"/>
      <c r="M179" s="378"/>
      <c r="N179" s="346">
        <f>IFERROR(VLOOKUP(G179,Ch4_Storage,2, FALSE),0)</f>
        <v>0</v>
      </c>
    </row>
    <row r="180" ht="18.75" customHeight="1">
      <c r="A180" s="507">
        <f>IFERROR(VLOOKUP(H180,PartyStorage,2, FALSE),0)</f>
        <v>0</v>
      </c>
      <c r="B180" s="993"/>
      <c r="C180" s="962"/>
      <c r="D180" s="974"/>
      <c r="E180" s="961" t="str">
        <f t="shared" si="1"/>
        <v/>
      </c>
      <c r="F180" s="962"/>
      <c r="G180" s="964"/>
      <c r="H180" s="971"/>
      <c r="I180" s="965"/>
      <c r="M180" s="966"/>
      <c r="N180" s="346">
        <f>IFERROR(VLOOKUP(G180,Ch4_Storage,2, FALSE),0)</f>
        <v>0</v>
      </c>
    </row>
    <row r="181" ht="18.75" customHeight="1">
      <c r="A181" s="507">
        <f>IFERROR(VLOOKUP(H181,PartyStorage,2, FALSE),0)</f>
        <v>0</v>
      </c>
      <c r="B181" s="994"/>
      <c r="C181" s="955"/>
      <c r="D181" s="975"/>
      <c r="E181" s="954" t="str">
        <f t="shared" si="1"/>
        <v/>
      </c>
      <c r="F181" s="955"/>
      <c r="G181" s="956"/>
      <c r="H181" s="978"/>
      <c r="I181" s="957"/>
      <c r="M181" s="378"/>
      <c r="N181" s="346">
        <f>IFERROR(VLOOKUP(G181,Ch4_Storage,2, FALSE),0)</f>
        <v>0</v>
      </c>
    </row>
    <row r="182" ht="18.75" customHeight="1">
      <c r="A182" s="507">
        <f>IFERROR(VLOOKUP(H182,PartyStorage,2, FALSE),0)</f>
        <v>0</v>
      </c>
      <c r="B182" s="993"/>
      <c r="C182" s="962"/>
      <c r="D182" s="974"/>
      <c r="E182" s="961" t="str">
        <f t="shared" si="1"/>
        <v/>
      </c>
      <c r="F182" s="962"/>
      <c r="G182" s="964"/>
      <c r="H182" s="971"/>
      <c r="I182" s="965"/>
      <c r="M182" s="966"/>
      <c r="N182" s="346">
        <f>IFERROR(VLOOKUP(G182,Ch4_Storage,2, FALSE),0)</f>
        <v>0</v>
      </c>
    </row>
    <row r="183" ht="18.75" customHeight="1">
      <c r="A183" s="507">
        <f>IFERROR(VLOOKUP(H183,PartyStorage,2, FALSE),0)</f>
        <v>0</v>
      </c>
      <c r="B183" s="994"/>
      <c r="C183" s="955"/>
      <c r="D183" s="975"/>
      <c r="E183" s="954" t="str">
        <f t="shared" si="1"/>
        <v/>
      </c>
      <c r="F183" s="955"/>
      <c r="G183" s="956"/>
      <c r="H183" s="978"/>
      <c r="I183" s="957"/>
      <c r="M183" s="378"/>
      <c r="N183" s="346">
        <f>IFERROR(VLOOKUP(G183,Ch4_Storage,2, FALSE),0)</f>
        <v>0</v>
      </c>
    </row>
    <row r="184" ht="18.75" customHeight="1">
      <c r="A184" s="507">
        <f>IFERROR(VLOOKUP(H184,PartyStorage,2, FALSE),0)</f>
        <v>0</v>
      </c>
      <c r="B184" s="993"/>
      <c r="C184" s="962"/>
      <c r="D184" s="974"/>
      <c r="E184" s="961" t="str">
        <f t="shared" si="1"/>
        <v/>
      </c>
      <c r="F184" s="962"/>
      <c r="G184" s="964"/>
      <c r="H184" s="971"/>
      <c r="I184" s="965"/>
      <c r="M184" s="966"/>
      <c r="N184" s="346">
        <f>IFERROR(VLOOKUP(G184,Ch4_Storage,2, FALSE),0)</f>
        <v>0</v>
      </c>
    </row>
    <row r="185" ht="18.75" customHeight="1">
      <c r="A185" s="507">
        <f>IFERROR(VLOOKUP(H185,PartyStorage,2, FALSE),0)</f>
        <v>0</v>
      </c>
      <c r="B185" s="994"/>
      <c r="C185" s="955"/>
      <c r="D185" s="975"/>
      <c r="E185" s="954" t="str">
        <f t="shared" si="1"/>
        <v/>
      </c>
      <c r="F185" s="955"/>
      <c r="G185" s="956"/>
      <c r="H185" s="978"/>
      <c r="I185" s="957"/>
      <c r="M185" s="378"/>
      <c r="N185" s="346">
        <f>IFERROR(VLOOKUP(G185,Ch4_Storage,2, FALSE),0)</f>
        <v>0</v>
      </c>
    </row>
    <row r="186" ht="18.75" customHeight="1">
      <c r="A186" s="507">
        <f>IFERROR(VLOOKUP(H186,PartyStorage,2, FALSE),0)</f>
        <v>0</v>
      </c>
      <c r="B186" s="993"/>
      <c r="C186" s="962"/>
      <c r="D186" s="974"/>
      <c r="E186" s="961" t="str">
        <f t="shared" si="1"/>
        <v/>
      </c>
      <c r="F186" s="962"/>
      <c r="G186" s="964"/>
      <c r="H186" s="971"/>
      <c r="I186" s="965"/>
      <c r="M186" s="966"/>
      <c r="N186" s="346">
        <f>IFERROR(VLOOKUP(G186,Ch4_Storage,2, FALSE),0)</f>
        <v>0</v>
      </c>
    </row>
    <row r="187" ht="18.75" customHeight="1">
      <c r="A187" s="507">
        <f>IFERROR(VLOOKUP(H187,PartyStorage,2, FALSE),0)</f>
        <v>0</v>
      </c>
      <c r="B187" s="994"/>
      <c r="C187" s="955"/>
      <c r="D187" s="975"/>
      <c r="E187" s="954" t="str">
        <f t="shared" si="1"/>
        <v/>
      </c>
      <c r="F187" s="955"/>
      <c r="G187" s="956"/>
      <c r="H187" s="978"/>
      <c r="I187" s="957"/>
      <c r="M187" s="378"/>
      <c r="N187" s="346">
        <f>IFERROR(VLOOKUP(G187,Ch4_Storage,2, FALSE),0)</f>
        <v>0</v>
      </c>
    </row>
    <row r="188" ht="18.75" customHeight="1">
      <c r="A188" s="507">
        <f>IFERROR(VLOOKUP(H188,PartyStorage,2, FALSE),0)</f>
        <v>0</v>
      </c>
      <c r="B188" s="993"/>
      <c r="C188" s="962"/>
      <c r="D188" s="974"/>
      <c r="E188" s="961" t="str">
        <f t="shared" si="1"/>
        <v/>
      </c>
      <c r="F188" s="962"/>
      <c r="G188" s="964"/>
      <c r="H188" s="971"/>
      <c r="I188" s="965"/>
      <c r="M188" s="966"/>
      <c r="N188" s="346">
        <f>IFERROR(VLOOKUP(G188,Ch4_Storage,2, FALSE),0)</f>
        <v>0</v>
      </c>
    </row>
    <row r="189" ht="18.75" customHeight="1">
      <c r="A189" s="507">
        <f>IFERROR(VLOOKUP(H189,PartyStorage,2, FALSE),0)</f>
        <v>0</v>
      </c>
      <c r="B189" s="994"/>
      <c r="C189" s="955"/>
      <c r="D189" s="975"/>
      <c r="E189" s="954" t="str">
        <f t="shared" si="1"/>
        <v/>
      </c>
      <c r="F189" s="955"/>
      <c r="G189" s="956"/>
      <c r="H189" s="978"/>
      <c r="I189" s="957"/>
      <c r="M189" s="378"/>
      <c r="N189" s="346">
        <f>IFERROR(VLOOKUP(G189,Ch4_Storage,2, FALSE),0)</f>
        <v>0</v>
      </c>
    </row>
    <row r="190" ht="18.75" customHeight="1">
      <c r="A190" s="507">
        <f>IFERROR(VLOOKUP(H190,PartyStorage,2, FALSE),0)</f>
        <v>0</v>
      </c>
      <c r="B190" s="993"/>
      <c r="C190" s="962"/>
      <c r="D190" s="974"/>
      <c r="E190" s="961" t="str">
        <f t="shared" si="1"/>
        <v/>
      </c>
      <c r="F190" s="962"/>
      <c r="G190" s="964"/>
      <c r="H190" s="971"/>
      <c r="I190" s="965"/>
      <c r="M190" s="966"/>
      <c r="N190" s="346">
        <f>IFERROR(VLOOKUP(G190,Ch4_Storage,2, FALSE),0)</f>
        <v>0</v>
      </c>
    </row>
    <row r="191" ht="18.75" customHeight="1">
      <c r="A191" s="507">
        <f>IFERROR(VLOOKUP(H191,PartyStorage,2, FALSE),0)</f>
        <v>0</v>
      </c>
      <c r="B191" s="994"/>
      <c r="C191" s="955"/>
      <c r="D191" s="975"/>
      <c r="E191" s="954" t="str">
        <f t="shared" si="1"/>
        <v/>
      </c>
      <c r="F191" s="955"/>
      <c r="G191" s="956"/>
      <c r="H191" s="978"/>
      <c r="I191" s="957"/>
      <c r="M191" s="378"/>
      <c r="N191" s="346">
        <f>IFERROR(VLOOKUP(G191,Ch4_Storage,2, FALSE),0)</f>
        <v>0</v>
      </c>
    </row>
    <row r="192" ht="18.75" customHeight="1">
      <c r="A192" s="507">
        <f>IFERROR(VLOOKUP(H192,PartyStorage,2, FALSE),0)</f>
        <v>0</v>
      </c>
      <c r="B192" s="993"/>
      <c r="C192" s="962"/>
      <c r="D192" s="974"/>
      <c r="E192" s="961" t="str">
        <f t="shared" si="1"/>
        <v/>
      </c>
      <c r="F192" s="962"/>
      <c r="G192" s="964"/>
      <c r="H192" s="971"/>
      <c r="I192" s="965"/>
      <c r="M192" s="966"/>
      <c r="N192" s="346">
        <f>IFERROR(VLOOKUP(G192,Ch4_Storage,2, FALSE),0)</f>
        <v>0</v>
      </c>
    </row>
    <row r="193" ht="18.75" customHeight="1">
      <c r="A193" s="507">
        <f>IFERROR(VLOOKUP(H193,PartyStorage,2, FALSE),0)</f>
        <v>0</v>
      </c>
      <c r="B193" s="994"/>
      <c r="C193" s="955"/>
      <c r="D193" s="975"/>
      <c r="E193" s="954" t="str">
        <f t="shared" si="1"/>
        <v/>
      </c>
      <c r="F193" s="955"/>
      <c r="G193" s="956"/>
      <c r="H193" s="978"/>
      <c r="I193" s="957"/>
      <c r="M193" s="378"/>
      <c r="N193" s="346">
        <f>IFERROR(VLOOKUP(G193,Ch4_Storage,2, FALSE),0)</f>
        <v>0</v>
      </c>
    </row>
    <row r="194" ht="18.75" customHeight="1">
      <c r="A194" s="507">
        <f>IFERROR(VLOOKUP(H194,PartyStorage,2, FALSE),0)</f>
        <v>0</v>
      </c>
      <c r="B194" s="993"/>
      <c r="C194" s="962"/>
      <c r="D194" s="974"/>
      <c r="E194" s="961" t="str">
        <f t="shared" si="1"/>
        <v/>
      </c>
      <c r="F194" s="962"/>
      <c r="G194" s="964"/>
      <c r="H194" s="971"/>
      <c r="I194" s="965"/>
      <c r="M194" s="966"/>
      <c r="N194" s="346">
        <f>IFERROR(VLOOKUP(G194,Ch4_Storage,2, FALSE),0)</f>
        <v>0</v>
      </c>
    </row>
    <row r="195" ht="18.75" customHeight="1">
      <c r="A195" s="507">
        <f>IFERROR(VLOOKUP(H195,PartyStorage,2, FALSE),0)</f>
        <v>0</v>
      </c>
      <c r="B195" s="994"/>
      <c r="C195" s="955"/>
      <c r="D195" s="975"/>
      <c r="E195" s="954" t="str">
        <f t="shared" si="1"/>
        <v/>
      </c>
      <c r="F195" s="955"/>
      <c r="G195" s="956"/>
      <c r="H195" s="978"/>
      <c r="I195" s="957"/>
      <c r="M195" s="378"/>
      <c r="N195" s="346">
        <f>IFERROR(VLOOKUP(G195,Ch4_Storage,2, FALSE),0)</f>
        <v>0</v>
      </c>
    </row>
    <row r="196" ht="18.75" customHeight="1">
      <c r="A196" s="507">
        <f>IFERROR(VLOOKUP(H196,PartyStorage,2, FALSE),0)</f>
        <v>0</v>
      </c>
      <c r="B196" s="993"/>
      <c r="C196" s="962"/>
      <c r="D196" s="974"/>
      <c r="E196" s="961" t="str">
        <f t="shared" si="1"/>
        <v/>
      </c>
      <c r="F196" s="962"/>
      <c r="G196" s="964"/>
      <c r="H196" s="971"/>
      <c r="I196" s="965"/>
      <c r="M196" s="966"/>
      <c r="N196" s="346">
        <f>IFERROR(VLOOKUP(G196,Ch4_Storage,2, FALSE),0)</f>
        <v>0</v>
      </c>
    </row>
    <row r="197" ht="18.75" customHeight="1">
      <c r="A197" s="507">
        <f>IFERROR(VLOOKUP(H197,PartyStorage,2, FALSE),0)</f>
        <v>0</v>
      </c>
      <c r="B197" s="994"/>
      <c r="C197" s="955"/>
      <c r="D197" s="975"/>
      <c r="E197" s="954" t="str">
        <f t="shared" si="1"/>
        <v/>
      </c>
      <c r="F197" s="955"/>
      <c r="G197" s="956"/>
      <c r="H197" s="978"/>
      <c r="I197" s="957"/>
      <c r="M197" s="378"/>
      <c r="N197" s="346">
        <f>IFERROR(VLOOKUP(G197,Ch4_Storage,2, FALSE),0)</f>
        <v>0</v>
      </c>
    </row>
    <row r="198" ht="18.75" customHeight="1">
      <c r="A198" s="507">
        <f>IFERROR(VLOOKUP(H198,PartyStorage,2, FALSE),0)</f>
        <v>0</v>
      </c>
      <c r="B198" s="993"/>
      <c r="C198" s="962"/>
      <c r="D198" s="974"/>
      <c r="E198" s="961" t="str">
        <f t="shared" si="1"/>
        <v/>
      </c>
      <c r="F198" s="962"/>
      <c r="G198" s="964"/>
      <c r="H198" s="971"/>
      <c r="I198" s="965"/>
      <c r="M198" s="966"/>
      <c r="N198" s="346">
        <f>IFERROR(VLOOKUP(G198,Ch4_Storage,2, FALSE),0)</f>
        <v>0</v>
      </c>
    </row>
    <row r="199" ht="18.75" customHeight="1">
      <c r="A199" s="507">
        <f>IFERROR(VLOOKUP(H199,PartyStorage,2, FALSE),0)</f>
        <v>0</v>
      </c>
      <c r="B199" s="994"/>
      <c r="C199" s="955"/>
      <c r="D199" s="975"/>
      <c r="E199" s="954" t="str">
        <f t="shared" si="1"/>
        <v/>
      </c>
      <c r="F199" s="955"/>
      <c r="G199" s="956"/>
      <c r="H199" s="978"/>
      <c r="I199" s="957"/>
      <c r="M199" s="378"/>
      <c r="N199" s="346">
        <f>IFERROR(VLOOKUP(G199,Ch4_Storage,2, FALSE),0)</f>
        <v>0</v>
      </c>
    </row>
    <row r="200" ht="18.75" customHeight="1">
      <c r="A200" s="507">
        <f>IFERROR(VLOOKUP(H200,PartyStorage,2, FALSE),0)</f>
        <v>0</v>
      </c>
      <c r="B200" s="993"/>
      <c r="C200" s="962"/>
      <c r="D200" s="974"/>
      <c r="E200" s="961" t="str">
        <f t="shared" si="1"/>
        <v/>
      </c>
      <c r="F200" s="962"/>
      <c r="G200" s="964"/>
      <c r="H200" s="971"/>
      <c r="I200" s="965"/>
      <c r="M200" s="966"/>
      <c r="N200" s="346">
        <f>IFERROR(VLOOKUP(G200,Ch4_Storage,2, FALSE),0)</f>
        <v>0</v>
      </c>
    </row>
    <row r="201" ht="18.75" customHeight="1">
      <c r="A201" s="507">
        <f>IFERROR(VLOOKUP(H201,PartyStorage,2, FALSE),0)</f>
        <v>0</v>
      </c>
      <c r="B201" s="994"/>
      <c r="C201" s="955"/>
      <c r="D201" s="975"/>
      <c r="E201" s="954" t="str">
        <f t="shared" si="1"/>
        <v/>
      </c>
      <c r="F201" s="955"/>
      <c r="G201" s="956"/>
      <c r="H201" s="978"/>
      <c r="I201" s="957"/>
      <c r="M201" s="378"/>
      <c r="N201" s="346">
        <f>IFERROR(VLOOKUP(G201,Ch4_Storage,2, FALSE),0)</f>
        <v>0</v>
      </c>
    </row>
    <row r="202" ht="18.75" customHeight="1">
      <c r="A202" s="507">
        <f>IFERROR(VLOOKUP(H202,PartyStorage,2, FALSE),0)</f>
        <v>0</v>
      </c>
      <c r="B202" s="993"/>
      <c r="C202" s="962"/>
      <c r="D202" s="974"/>
      <c r="E202" s="961" t="str">
        <f t="shared" si="1"/>
        <v/>
      </c>
      <c r="F202" s="962"/>
      <c r="G202" s="964"/>
      <c r="H202" s="971"/>
      <c r="I202" s="965"/>
      <c r="M202" s="966"/>
      <c r="N202" s="346">
        <f>IFERROR(VLOOKUP(G202,Ch4_Storage,2, FALSE),0)</f>
        <v>0</v>
      </c>
    </row>
    <row r="203" ht="18.75" customHeight="1">
      <c r="A203" s="507">
        <f>IFERROR(VLOOKUP(H203,PartyStorage,2, FALSE),0)</f>
        <v>0</v>
      </c>
      <c r="B203" s="994"/>
      <c r="C203" s="955"/>
      <c r="D203" s="975"/>
      <c r="E203" s="954" t="str">
        <f t="shared" si="1"/>
        <v/>
      </c>
      <c r="F203" s="955"/>
      <c r="G203" s="956"/>
      <c r="H203" s="978"/>
      <c r="I203" s="957"/>
      <c r="M203" s="378"/>
      <c r="N203" s="346">
        <f>IFERROR(VLOOKUP(G203,Ch4_Storage,2, FALSE),0)</f>
        <v>0</v>
      </c>
    </row>
    <row r="204" ht="18.75" customHeight="1">
      <c r="A204" s="507">
        <f>IFERROR(VLOOKUP(H204,PartyStorage,2, FALSE),0)</f>
        <v>0</v>
      </c>
      <c r="B204" s="993"/>
      <c r="C204" s="962"/>
      <c r="D204" s="974"/>
      <c r="E204" s="961" t="str">
        <f t="shared" si="1"/>
        <v/>
      </c>
      <c r="F204" s="962"/>
      <c r="G204" s="964"/>
      <c r="H204" s="971"/>
      <c r="I204" s="965"/>
      <c r="M204" s="966"/>
      <c r="N204" s="346">
        <f>IFERROR(VLOOKUP(G204,Ch4_Storage,2, FALSE),0)</f>
        <v>0</v>
      </c>
    </row>
    <row r="205" ht="18.75" customHeight="1">
      <c r="A205" s="507">
        <f>IFERROR(VLOOKUP(H205,PartyStorage,2, FALSE),0)</f>
        <v>0</v>
      </c>
      <c r="B205" s="994"/>
      <c r="C205" s="955"/>
      <c r="D205" s="975"/>
      <c r="E205" s="954" t="str">
        <f t="shared" si="1"/>
        <v/>
      </c>
      <c r="F205" s="955"/>
      <c r="G205" s="956"/>
      <c r="H205" s="978"/>
      <c r="I205" s="957"/>
      <c r="M205" s="378"/>
      <c r="N205" s="346">
        <f>IFERROR(VLOOKUP(G205,Ch4_Storage,2, FALSE),0)</f>
        <v>0</v>
      </c>
    </row>
    <row r="206" ht="18.75" customHeight="1">
      <c r="A206" s="507">
        <f>IFERROR(VLOOKUP(H206,PartyStorage,2, FALSE),0)</f>
        <v>0</v>
      </c>
      <c r="B206" s="993"/>
      <c r="C206" s="962"/>
      <c r="D206" s="974"/>
      <c r="E206" s="961" t="str">
        <f t="shared" si="1"/>
        <v/>
      </c>
      <c r="F206" s="962"/>
      <c r="G206" s="964"/>
      <c r="H206" s="971"/>
      <c r="I206" s="965"/>
      <c r="M206" s="966"/>
      <c r="N206" s="346">
        <f>IFERROR(VLOOKUP(G206,Ch4_Storage,2, FALSE),0)</f>
        <v>0</v>
      </c>
    </row>
    <row r="207" ht="18.75" customHeight="1">
      <c r="A207" s="507">
        <f>IFERROR(VLOOKUP(H207,PartyStorage,2, FALSE),0)</f>
        <v>0</v>
      </c>
      <c r="B207" s="994"/>
      <c r="C207" s="955"/>
      <c r="D207" s="975"/>
      <c r="E207" s="954" t="str">
        <f t="shared" si="1"/>
        <v/>
      </c>
      <c r="F207" s="955"/>
      <c r="G207" s="956"/>
      <c r="H207" s="978"/>
      <c r="I207" s="957"/>
      <c r="M207" s="378"/>
      <c r="N207" s="346">
        <f>IFERROR(VLOOKUP(G207,Ch4_Storage,2, FALSE),0)</f>
        <v>0</v>
      </c>
    </row>
    <row r="208" ht="18.75" customHeight="1">
      <c r="A208" s="507">
        <f>IFERROR(VLOOKUP(H208,PartyStorage,2, FALSE),0)</f>
        <v>0</v>
      </c>
      <c r="B208" s="995"/>
      <c r="C208" s="996"/>
      <c r="D208" s="997"/>
      <c r="E208" s="998" t="str">
        <f t="shared" si="1"/>
        <v/>
      </c>
      <c r="F208" s="996"/>
      <c r="G208" s="999"/>
      <c r="H208" s="1000"/>
      <c r="I208" s="1001"/>
      <c r="J208" s="1002"/>
      <c r="K208" s="1002"/>
      <c r="L208" s="1002"/>
      <c r="M208" s="1003"/>
      <c r="N208" s="346">
        <f>IFERROR(VLOOKUP(G208,Ch4_Storage,2, FALSE),0)</f>
        <v>0</v>
      </c>
    </row>
    <row r="209" ht="7.5" customHeight="1">
      <c r="A209" s="1004"/>
      <c r="B209" s="261"/>
      <c r="C209" s="261"/>
      <c r="D209" s="261"/>
      <c r="E209" s="261"/>
      <c r="F209" s="261"/>
      <c r="G209" s="261"/>
      <c r="H209" s="261"/>
      <c r="I209" s="261"/>
      <c r="J209" s="261"/>
      <c r="K209" s="261"/>
      <c r="L209" s="261"/>
      <c r="M209" s="261"/>
      <c r="N209" s="346"/>
    </row>
  </sheetData>
  <mergeCells count="196">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44:M144"/>
    <mergeCell ref="I201:M201"/>
    <mergeCell ref="I202:M202"/>
    <mergeCell ref="I203:M203"/>
    <mergeCell ref="I204:M204"/>
    <mergeCell ref="I205:M205"/>
    <mergeCell ref="I206:M206"/>
    <mergeCell ref="I207:M207"/>
    <mergeCell ref="I208:M208"/>
    <mergeCell ref="I194:M194"/>
    <mergeCell ref="I195:M195"/>
    <mergeCell ref="I196:M196"/>
    <mergeCell ref="I197:M197"/>
    <mergeCell ref="I198:M198"/>
    <mergeCell ref="I199:M199"/>
    <mergeCell ref="I200:M200"/>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 ref="I193:M193"/>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7" priority="4">
      <formula>IF($N$2="",true,false)</formula>
    </cfRule>
  </conditionalFormatting>
  <conditionalFormatting sqref="K3:M7">
    <cfRule type="expression" dxfId="8" priority="5">
      <formula>IF($N$2="",true,false)</formula>
    </cfRule>
  </conditionalFormatting>
  <dataValidations>
    <dataValidation type="list" allowBlank="1" showInputMessage="1" showErrorMessage="1" prompt="Every item must have a PC or party storage location" sqref="G27:G208">
      <formula1>'Character Info'!$L$19:$L$28</formula1>
    </dataValidation>
    <dataValidation type="list" allowBlank="1" showErrorMessage="1" sqref="H27:H208">
      <formula1>PartyStorageSingle</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Ch6_Name</f>
        <v/>
      </c>
      <c r="B1" s="437"/>
      <c r="C1" s="438"/>
      <c r="D1" s="438"/>
      <c r="E1" s="248" t="s">
        <v>62</v>
      </c>
      <c r="F1" s="438"/>
      <c r="G1" s="439"/>
      <c r="H1" s="439"/>
      <c r="I1" s="440" t="s">
        <v>63</v>
      </c>
      <c r="J1" s="426"/>
      <c r="K1" s="439"/>
      <c r="L1" s="439"/>
      <c r="M1" s="439"/>
      <c r="N1" s="439"/>
      <c r="O1" s="439"/>
      <c r="P1" s="439"/>
      <c r="Q1" s="439"/>
      <c r="R1" s="439"/>
      <c r="S1" s="439"/>
      <c r="T1" s="439"/>
      <c r="U1" s="439"/>
      <c r="V1" s="439"/>
      <c r="W1" s="439"/>
      <c r="X1" s="439"/>
      <c r="Y1" s="439"/>
      <c r="Z1" s="439"/>
      <c r="AA1" s="439"/>
      <c r="AB1" s="439"/>
    </row>
    <row r="2" ht="18.75" customHeight="1">
      <c r="A2" s="1005" t="str">
        <f>IF(ISBLANK(Ch6_Size),"",VLOOKUP(Ch6_Size,SizeMultipliers,2, FALSE))</f>
        <v/>
      </c>
      <c r="B2" s="1006" t="s">
        <v>64</v>
      </c>
      <c r="C2" s="1007"/>
      <c r="D2" s="1008"/>
      <c r="E2" s="547" t="str">
        <f>IMAGE(E1,1)</f>
        <v/>
      </c>
      <c r="G2" s="1009" t="s">
        <v>65</v>
      </c>
      <c r="H2" s="1008"/>
      <c r="I2" s="446" t="str">
        <f>IMAGE(I1,1)</f>
        <v/>
      </c>
      <c r="K2" s="1006" t="str">
        <f>IF(ISBLANK(Ch6_MountName),"Mount",Ch6_MountName)&amp;"'s Encumbrance"</f>
        <v>Mount's Encumbrance</v>
      </c>
      <c r="L2" s="138"/>
      <c r="M2" s="139"/>
      <c r="N2" s="348" t="str">
        <f>IF(ISBLANK(Ch6_MountSize),"",VLOOKUP(Ch6_MountSize,SizeMultipliers,2, FALSE))</f>
        <v/>
      </c>
    </row>
    <row r="3" ht="18.75" customHeight="1">
      <c r="A3" s="912"/>
      <c r="B3" s="352" t="s">
        <v>53</v>
      </c>
      <c r="C3" s="353"/>
      <c r="D3" s="1010">
        <f>Ch6_Str*Ch6_SizeMultiplier*5</f>
        <v>0</v>
      </c>
      <c r="G3" s="1011" t="s">
        <v>66</v>
      </c>
      <c r="H3" s="1012">
        <f>95262+1800+5273+13000+6000+18665</f>
        <v>140000</v>
      </c>
      <c r="K3" s="352" t="s">
        <v>53</v>
      </c>
      <c r="L3" s="353"/>
      <c r="M3" s="1010">
        <f>Ch6_MountStr*Ch6_MountSizeMult*5</f>
        <v>0</v>
      </c>
      <c r="N3" s="553"/>
    </row>
    <row r="4" ht="18.75" customHeight="1">
      <c r="A4" s="912"/>
      <c r="B4" s="1013" t="s">
        <v>55</v>
      </c>
      <c r="C4" s="1014"/>
      <c r="D4" s="1015">
        <f>Ch6_Str*Ch6_SizeMultiplier*10</f>
        <v>0</v>
      </c>
      <c r="G4" s="1016" t="s">
        <v>67</v>
      </c>
      <c r="H4" s="1012">
        <f>(VLOOKUP(ADD(Ch6_Level,1),XPTable_v,2))-Ch6_XP</f>
        <v>25000</v>
      </c>
      <c r="K4" s="1013" t="s">
        <v>55</v>
      </c>
      <c r="L4" s="1014"/>
      <c r="M4" s="1015">
        <f>Ch6_MountStr*Ch6_MountSizeMult*10</f>
        <v>0</v>
      </c>
      <c r="N4" s="553"/>
    </row>
    <row r="5" ht="18.75" customHeight="1">
      <c r="A5" s="912"/>
      <c r="B5" s="352" t="s">
        <v>17</v>
      </c>
      <c r="C5" s="353"/>
      <c r="D5" s="1010">
        <f>Ch6_Str*Ch6_SizeMultiplier*15</f>
        <v>0</v>
      </c>
      <c r="G5" s="1017" t="s">
        <v>68</v>
      </c>
      <c r="H5" s="1018">
        <f>MATCH(Ch6_XP,XPTable_m,2)</f>
        <v>14</v>
      </c>
      <c r="K5" s="352" t="s">
        <v>17</v>
      </c>
      <c r="L5" s="353"/>
      <c r="M5" s="1010">
        <f>Ch6_MountStr*Ch6_MountSizeMult*15</f>
        <v>0</v>
      </c>
      <c r="N5" s="553"/>
    </row>
    <row r="6" ht="18.75" customHeight="1">
      <c r="A6" s="912"/>
      <c r="B6" s="1013" t="s">
        <v>57</v>
      </c>
      <c r="C6" s="1014"/>
      <c r="D6" s="1015">
        <f>Ch6_Str*Ch6_SizeMultiplier*30</f>
        <v>0</v>
      </c>
      <c r="G6" s="17"/>
      <c r="H6" s="17"/>
      <c r="K6" s="1013" t="s">
        <v>57</v>
      </c>
      <c r="L6" s="1014"/>
      <c r="M6" s="1015">
        <f>Ch6_MountStr*Ch6_MountSizeMult*30</f>
        <v>0</v>
      </c>
      <c r="N6" s="553"/>
    </row>
    <row r="7" ht="18.75" customHeight="1">
      <c r="A7" s="912"/>
      <c r="B7" s="457" t="s">
        <v>43</v>
      </c>
      <c r="C7" s="1019"/>
      <c r="D7" s="1020">
        <f t="array" ref="D7">SUMIF(Ch6_EquipStatus,"=On Character",Ch6_InventoryWeights)</f>
        <v>0</v>
      </c>
      <c r="G7" s="1021" t="s">
        <v>30</v>
      </c>
      <c r="H7" s="461">
        <f>SUM(G11:G15,G19:G24)</f>
        <v>0</v>
      </c>
      <c r="K7" s="369" t="s">
        <v>43</v>
      </c>
      <c r="L7" s="1019"/>
      <c r="M7" s="1022">
        <f t="array" ref="M7">SUMIF(Ch6_EquipStatus,"=On Mount",Ch6_InventoryWeights)+++IF( NOT(EQ(N2,"")),D7+Ch6_Weight,0)</f>
        <v>0</v>
      </c>
      <c r="N7" s="553"/>
    </row>
    <row r="8" ht="7.5" customHeight="1">
      <c r="A8" s="912"/>
      <c r="B8" s="463"/>
      <c r="C8" s="464"/>
      <c r="D8" s="465"/>
      <c r="E8" s="464"/>
      <c r="F8" s="464"/>
      <c r="G8" s="464"/>
      <c r="H8" s="464"/>
      <c r="I8" s="466"/>
      <c r="J8" s="467"/>
      <c r="K8" s="467"/>
      <c r="L8" s="467"/>
      <c r="M8" s="467"/>
      <c r="N8" s="553"/>
    </row>
    <row r="9" ht="18.75" customHeight="1">
      <c r="A9" s="912"/>
      <c r="B9" s="1023" t="s">
        <v>28</v>
      </c>
      <c r="C9" s="1024"/>
      <c r="D9" s="1025" t="s">
        <v>29</v>
      </c>
      <c r="E9" s="1026"/>
      <c r="F9" s="1026"/>
      <c r="G9" s="1026"/>
      <c r="H9" s="1026"/>
      <c r="I9" s="1027"/>
      <c r="J9" s="1028"/>
      <c r="K9" s="1028"/>
      <c r="L9" s="1028"/>
      <c r="M9" s="1029"/>
      <c r="N9" s="553"/>
    </row>
    <row r="10" ht="18.75" customHeight="1">
      <c r="A10" s="912"/>
      <c r="B10" s="1030" t="s">
        <v>31</v>
      </c>
      <c r="C10" s="1031" t="s">
        <v>11</v>
      </c>
      <c r="D10" s="1031" t="s">
        <v>32</v>
      </c>
      <c r="E10" s="1031" t="s">
        <v>33</v>
      </c>
      <c r="F10" s="1031" t="s">
        <v>34</v>
      </c>
      <c r="G10" s="1031" t="s">
        <v>35</v>
      </c>
      <c r="H10" s="1031" t="s">
        <v>36</v>
      </c>
      <c r="I10" s="1031" t="s">
        <v>37</v>
      </c>
      <c r="J10" s="1031" t="s">
        <v>38</v>
      </c>
      <c r="K10" s="1031" t="s">
        <v>39</v>
      </c>
      <c r="L10" s="1031" t="s">
        <v>40</v>
      </c>
      <c r="M10" s="1032" t="s">
        <v>41</v>
      </c>
      <c r="N10" s="329"/>
    </row>
    <row r="11" ht="18.75" customHeight="1">
      <c r="A11" s="912"/>
      <c r="B11" s="693"/>
      <c r="C11" s="1033" t="s">
        <v>42</v>
      </c>
      <c r="D11" s="1034" t="str">
        <f>B11</f>
        <v/>
      </c>
      <c r="E11" s="1035">
        <f>B11/10</f>
        <v>0</v>
      </c>
      <c r="F11" s="1035">
        <f>B11/50</f>
        <v>0</v>
      </c>
      <c r="G11" s="1035">
        <f>B11/100</f>
        <v>0</v>
      </c>
      <c r="H11" s="1035">
        <f>B11/1000</f>
        <v>0</v>
      </c>
      <c r="I11" s="1036">
        <f>B11/5000</f>
        <v>0</v>
      </c>
      <c r="J11" s="1037">
        <f>B11/10000</f>
        <v>0</v>
      </c>
      <c r="K11" s="1037">
        <f>B11/50000</f>
        <v>0</v>
      </c>
      <c r="L11" s="1037">
        <f>B11/100000</f>
        <v>0</v>
      </c>
      <c r="M11" s="1038">
        <f>B11/500000</f>
        <v>0</v>
      </c>
      <c r="N11" s="553"/>
    </row>
    <row r="12" ht="18.75" customHeight="1">
      <c r="A12" s="912"/>
      <c r="B12" s="693"/>
      <c r="C12" s="1033" t="s">
        <v>44</v>
      </c>
      <c r="D12" s="1035">
        <f>B12*10</f>
        <v>0</v>
      </c>
      <c r="E12" s="1034" t="str">
        <f>B12</f>
        <v/>
      </c>
      <c r="F12" s="1035">
        <f>B12/5</f>
        <v>0</v>
      </c>
      <c r="G12" s="1035">
        <f>B12/10</f>
        <v>0</v>
      </c>
      <c r="H12" s="1035">
        <f>B12/100</f>
        <v>0</v>
      </c>
      <c r="I12" s="1035">
        <f>B12/500</f>
        <v>0</v>
      </c>
      <c r="J12" s="1035">
        <f>B12/1000</f>
        <v>0</v>
      </c>
      <c r="K12" s="1035">
        <f>B12/5000</f>
        <v>0</v>
      </c>
      <c r="L12" s="1035">
        <f>B12/10000</f>
        <v>0</v>
      </c>
      <c r="M12" s="1039">
        <f>B12/50000</f>
        <v>0</v>
      </c>
      <c r="N12" s="553"/>
    </row>
    <row r="13" ht="18.75" customHeight="1">
      <c r="A13" s="912"/>
      <c r="B13" s="693"/>
      <c r="C13" s="1033" t="s">
        <v>45</v>
      </c>
      <c r="D13" s="1035">
        <f>B13*50</f>
        <v>0</v>
      </c>
      <c r="E13" s="1035">
        <f>B13*5</f>
        <v>0</v>
      </c>
      <c r="F13" s="1034" t="str">
        <f>B13</f>
        <v/>
      </c>
      <c r="G13" s="1035">
        <f>B13/2</f>
        <v>0</v>
      </c>
      <c r="H13" s="1035">
        <f>B13/20</f>
        <v>0</v>
      </c>
      <c r="I13" s="1035">
        <f>B13/100</f>
        <v>0</v>
      </c>
      <c r="J13" s="1037">
        <f>B13/200</f>
        <v>0</v>
      </c>
      <c r="K13" s="1037">
        <f>B13/1000</f>
        <v>0</v>
      </c>
      <c r="L13" s="1037">
        <f>B13/2000</f>
        <v>0</v>
      </c>
      <c r="M13" s="1038">
        <f>B13/10000</f>
        <v>0</v>
      </c>
      <c r="N13" s="553"/>
    </row>
    <row r="14" ht="18.75" customHeight="1">
      <c r="A14" s="912"/>
      <c r="B14" s="693"/>
      <c r="C14" s="1033" t="s">
        <v>46</v>
      </c>
      <c r="D14" s="1035">
        <f>B14*100</f>
        <v>0</v>
      </c>
      <c r="E14" s="1035">
        <f>B14*10</f>
        <v>0</v>
      </c>
      <c r="F14" s="1035">
        <f>B14*2</f>
        <v>0</v>
      </c>
      <c r="G14" s="1034" t="str">
        <f>B14</f>
        <v/>
      </c>
      <c r="H14" s="1035">
        <f>B14/10</f>
        <v>0</v>
      </c>
      <c r="I14" s="1035">
        <f>B14/50</f>
        <v>0</v>
      </c>
      <c r="J14" s="1037">
        <f>B14/100</f>
        <v>0</v>
      </c>
      <c r="K14" s="1037">
        <f>B14/500</f>
        <v>0</v>
      </c>
      <c r="L14" s="1037">
        <f>B14/1000</f>
        <v>0</v>
      </c>
      <c r="M14" s="1038">
        <f>B14/5000</f>
        <v>0</v>
      </c>
      <c r="N14" s="553"/>
    </row>
    <row r="15" ht="18.75" customHeight="1">
      <c r="A15" s="912"/>
      <c r="B15" s="701"/>
      <c r="C15" s="1040" t="s">
        <v>47</v>
      </c>
      <c r="D15" s="1041">
        <f>B15*1000</f>
        <v>0</v>
      </c>
      <c r="E15" s="1041">
        <f>B15*100</f>
        <v>0</v>
      </c>
      <c r="F15" s="1041">
        <f>B15*20</f>
        <v>0</v>
      </c>
      <c r="G15" s="1041">
        <f>B15*10</f>
        <v>0</v>
      </c>
      <c r="H15" s="1041">
        <f>B15*1</f>
        <v>0</v>
      </c>
      <c r="I15" s="1041">
        <f>B15/5</f>
        <v>0</v>
      </c>
      <c r="J15" s="1042">
        <f>B15/10</f>
        <v>0</v>
      </c>
      <c r="K15" s="1042">
        <f>B15/50</f>
        <v>0</v>
      </c>
      <c r="L15" s="1042">
        <f>B15/100</f>
        <v>0</v>
      </c>
      <c r="M15" s="1043">
        <f>B15/500</f>
        <v>0</v>
      </c>
      <c r="N15" s="553"/>
    </row>
    <row r="16" ht="7.5" customHeight="1">
      <c r="A16" s="912"/>
      <c r="B16" s="338"/>
      <c r="C16" s="339"/>
      <c r="D16" s="339"/>
      <c r="E16" s="339"/>
      <c r="F16" s="339"/>
      <c r="G16" s="339"/>
      <c r="H16" s="339"/>
      <c r="I16" s="339"/>
      <c r="J16" s="340"/>
      <c r="K16" s="340"/>
      <c r="L16" s="340"/>
      <c r="M16" s="340"/>
      <c r="N16" s="589"/>
      <c r="O16" s="114"/>
      <c r="P16" s="114"/>
      <c r="Q16" s="114"/>
      <c r="R16" s="114"/>
      <c r="S16" s="114"/>
      <c r="T16" s="114"/>
      <c r="U16" s="114"/>
      <c r="V16" s="114"/>
      <c r="W16" s="114"/>
      <c r="X16" s="114"/>
      <c r="Y16" s="114"/>
      <c r="Z16" s="114"/>
      <c r="AA16" s="114"/>
      <c r="AB16" s="114"/>
    </row>
    <row r="17" ht="18.75" customHeight="1">
      <c r="A17" s="912"/>
      <c r="B17" s="1023" t="s">
        <v>48</v>
      </c>
      <c r="C17" s="1026"/>
      <c r="D17" s="1025" t="s">
        <v>29</v>
      </c>
      <c r="E17" s="1026"/>
      <c r="F17" s="1026"/>
      <c r="G17" s="1026"/>
      <c r="H17" s="1026"/>
      <c r="I17" s="1026"/>
      <c r="J17" s="1028"/>
      <c r="K17" s="1028"/>
      <c r="L17" s="1028"/>
      <c r="M17" s="1029"/>
      <c r="N17" s="553"/>
    </row>
    <row r="18" ht="18.75" customHeight="1">
      <c r="A18" s="912"/>
      <c r="B18" s="1030" t="s">
        <v>31</v>
      </c>
      <c r="C18" s="1031" t="s">
        <v>11</v>
      </c>
      <c r="D18" s="1031" t="s">
        <v>32</v>
      </c>
      <c r="E18" s="1031" t="s">
        <v>33</v>
      </c>
      <c r="F18" s="1031" t="s">
        <v>34</v>
      </c>
      <c r="G18" s="1031" t="s">
        <v>35</v>
      </c>
      <c r="H18" s="1031" t="s">
        <v>36</v>
      </c>
      <c r="I18" s="1031" t="s">
        <v>37</v>
      </c>
      <c r="J18" s="1031" t="s">
        <v>38</v>
      </c>
      <c r="K18" s="1031" t="s">
        <v>39</v>
      </c>
      <c r="L18" s="1031" t="s">
        <v>40</v>
      </c>
      <c r="M18" s="1032" t="s">
        <v>41</v>
      </c>
      <c r="N18" s="553"/>
    </row>
    <row r="19" ht="18.75" customHeight="1">
      <c r="A19" s="912"/>
      <c r="B19" s="1044">
        <v>0.0</v>
      </c>
      <c r="C19" s="1033" t="s">
        <v>49</v>
      </c>
      <c r="D19" s="1035">
        <f>B19*1000</f>
        <v>0</v>
      </c>
      <c r="E19" s="1035">
        <f>B19*100</f>
        <v>0</v>
      </c>
      <c r="F19" s="1035">
        <f>B19*20</f>
        <v>0</v>
      </c>
      <c r="G19" s="1035">
        <f>B19*10</f>
        <v>0</v>
      </c>
      <c r="H19" s="1035">
        <f>B19*1</f>
        <v>0</v>
      </c>
      <c r="I19" s="1035">
        <f>B19/5</f>
        <v>0</v>
      </c>
      <c r="J19" s="1037">
        <f>B19/10</f>
        <v>0</v>
      </c>
      <c r="K19" s="1037">
        <f>B19/50</f>
        <v>0</v>
      </c>
      <c r="L19" s="1037">
        <f>B19/100</f>
        <v>0</v>
      </c>
      <c r="M19" s="1038">
        <f>B19/500</f>
        <v>0</v>
      </c>
      <c r="N19" s="553"/>
    </row>
    <row r="20" ht="18.75" customHeight="1">
      <c r="A20" s="912"/>
      <c r="B20" s="1044">
        <v>0.0</v>
      </c>
      <c r="C20" s="1033" t="s">
        <v>50</v>
      </c>
      <c r="D20" s="1035">
        <f>B20*5000</f>
        <v>0</v>
      </c>
      <c r="E20" s="1035">
        <f>B20*500</f>
        <v>0</v>
      </c>
      <c r="F20" s="1035">
        <f>B20*100</f>
        <v>0</v>
      </c>
      <c r="G20" s="1035">
        <f>B20*50</f>
        <v>0</v>
      </c>
      <c r="H20" s="1035">
        <f>B20*5</f>
        <v>0</v>
      </c>
      <c r="I20" s="1034">
        <f>B20</f>
        <v>0</v>
      </c>
      <c r="J20" s="1037">
        <f>B20/2</f>
        <v>0</v>
      </c>
      <c r="K20" s="1037">
        <f>B20/10</f>
        <v>0</v>
      </c>
      <c r="L20" s="1037">
        <f>B20/20</f>
        <v>0</v>
      </c>
      <c r="M20" s="1038">
        <f>B20/100</f>
        <v>0</v>
      </c>
      <c r="N20" s="553"/>
    </row>
    <row r="21" ht="18.75" customHeight="1">
      <c r="A21" s="912"/>
      <c r="B21" s="1044">
        <v>0.0</v>
      </c>
      <c r="C21" s="1033" t="s">
        <v>51</v>
      </c>
      <c r="D21" s="1035">
        <f>B21*10000</f>
        <v>0</v>
      </c>
      <c r="E21" s="1035">
        <f>B21*1000</f>
        <v>0</v>
      </c>
      <c r="F21" s="1035">
        <f>B21*200</f>
        <v>0</v>
      </c>
      <c r="G21" s="1035">
        <f>B21*100</f>
        <v>0</v>
      </c>
      <c r="H21" s="1035">
        <f>B21*10</f>
        <v>0</v>
      </c>
      <c r="I21" s="1035">
        <f>B21/5*10</f>
        <v>0</v>
      </c>
      <c r="J21" s="1045">
        <f>B21</f>
        <v>0</v>
      </c>
      <c r="K21" s="1037">
        <f>B21/5</f>
        <v>0</v>
      </c>
      <c r="L21" s="1037">
        <f>B21/10</f>
        <v>0</v>
      </c>
      <c r="M21" s="1038">
        <f>B21/50</f>
        <v>0</v>
      </c>
      <c r="N21" s="553"/>
    </row>
    <row r="22" ht="18.75" customHeight="1">
      <c r="A22" s="912"/>
      <c r="B22" s="1044">
        <v>0.0</v>
      </c>
      <c r="C22" s="1033" t="s">
        <v>52</v>
      </c>
      <c r="D22" s="1035">
        <f>B22*50000</f>
        <v>0</v>
      </c>
      <c r="E22" s="1035">
        <f>B22*5000</f>
        <v>0</v>
      </c>
      <c r="F22" s="1035">
        <f>B22*1000</f>
        <v>0</v>
      </c>
      <c r="G22" s="1035">
        <f>B22*500</f>
        <v>0</v>
      </c>
      <c r="H22" s="1035">
        <f>B22*50</f>
        <v>0</v>
      </c>
      <c r="I22" s="1035">
        <f>B22*10</f>
        <v>0</v>
      </c>
      <c r="J22" s="1037">
        <f>B22/2*10</f>
        <v>0</v>
      </c>
      <c r="K22" s="1045">
        <f>B22</f>
        <v>0</v>
      </c>
      <c r="L22" s="1037">
        <f>B22/2</f>
        <v>0</v>
      </c>
      <c r="M22" s="1038">
        <f>B22/10</f>
        <v>0</v>
      </c>
      <c r="N22" s="553"/>
    </row>
    <row r="23" ht="18.75" customHeight="1">
      <c r="A23" s="912"/>
      <c r="B23" s="1044">
        <v>0.0</v>
      </c>
      <c r="C23" s="1033" t="s">
        <v>54</v>
      </c>
      <c r="D23" s="1035">
        <f>B23*100000</f>
        <v>0</v>
      </c>
      <c r="E23" s="1035">
        <f>B23*10000</f>
        <v>0</v>
      </c>
      <c r="F23" s="1035">
        <f>B23*2000</f>
        <v>0</v>
      </c>
      <c r="G23" s="1035">
        <f>B23*1000</f>
        <v>0</v>
      </c>
      <c r="H23" s="1035">
        <f>B23*100</f>
        <v>0</v>
      </c>
      <c r="I23" s="1035">
        <f>B23/5*100</f>
        <v>0</v>
      </c>
      <c r="J23" s="1037">
        <f>B23*10</f>
        <v>0</v>
      </c>
      <c r="K23" s="1037">
        <f>B23/5*10</f>
        <v>0</v>
      </c>
      <c r="L23" s="1045">
        <f>B23</f>
        <v>0</v>
      </c>
      <c r="M23" s="1038">
        <f>B23/5</f>
        <v>0</v>
      </c>
      <c r="N23" s="553"/>
    </row>
    <row r="24" ht="18.75" customHeight="1">
      <c r="A24" s="912"/>
      <c r="B24" s="1046">
        <v>0.0</v>
      </c>
      <c r="C24" s="1040" t="s">
        <v>56</v>
      </c>
      <c r="D24" s="1041">
        <f>B24*500000</f>
        <v>0</v>
      </c>
      <c r="E24" s="1041">
        <f>B24*50000</f>
        <v>0</v>
      </c>
      <c r="F24" s="1041">
        <f>B24*10000</f>
        <v>0</v>
      </c>
      <c r="G24" s="1041">
        <f>B24*5000</f>
        <v>0</v>
      </c>
      <c r="H24" s="1041">
        <f>B24*500</f>
        <v>0</v>
      </c>
      <c r="I24" s="1041">
        <f>B24*100</f>
        <v>0</v>
      </c>
      <c r="J24" s="1042">
        <f>B24/2*100</f>
        <v>0</v>
      </c>
      <c r="K24" s="1042">
        <f>B24*10</f>
        <v>0</v>
      </c>
      <c r="L24" s="1042">
        <f>B24/2*10</f>
        <v>0</v>
      </c>
      <c r="M24" s="1047">
        <f>B24</f>
        <v>0</v>
      </c>
      <c r="N24" s="553"/>
    </row>
    <row r="25" ht="7.5" customHeight="1">
      <c r="A25" s="912"/>
      <c r="B25" s="364"/>
      <c r="C25" s="13"/>
      <c r="D25" s="13"/>
      <c r="E25" s="13"/>
      <c r="F25" s="13"/>
      <c r="G25" s="13"/>
      <c r="H25" s="13"/>
      <c r="I25" s="13"/>
      <c r="J25" s="261"/>
      <c r="K25" s="261"/>
      <c r="L25" s="261"/>
      <c r="M25" s="261"/>
      <c r="N25" s="553"/>
    </row>
    <row r="26" ht="18.75" customHeight="1">
      <c r="A26" s="912"/>
      <c r="B26" s="1048" t="s">
        <v>31</v>
      </c>
      <c r="C26" s="1049" t="s">
        <v>58</v>
      </c>
      <c r="D26" s="1049" t="s">
        <v>59</v>
      </c>
      <c r="E26" s="1049" t="s">
        <v>60</v>
      </c>
      <c r="F26" s="1049" t="s">
        <v>61</v>
      </c>
      <c r="G26" s="1049" t="s">
        <v>69</v>
      </c>
      <c r="H26" s="1050" t="s">
        <v>70</v>
      </c>
      <c r="I26" s="1051" t="s">
        <v>71</v>
      </c>
      <c r="J26" s="138"/>
      <c r="K26" s="138"/>
      <c r="L26" s="138"/>
      <c r="M26" s="139"/>
      <c r="N26" s="597"/>
    </row>
    <row r="27" ht="18.75" customHeight="1">
      <c r="A27" s="1005">
        <f>IFERROR(VLOOKUP(H27,PartyStorage,2, FALSE),0)</f>
        <v>0</v>
      </c>
      <c r="B27" s="712">
        <f>sum(Ch6_Money)</f>
        <v>0</v>
      </c>
      <c r="C27" s="485" t="s">
        <v>28</v>
      </c>
      <c r="D27" s="509">
        <v>0.02</v>
      </c>
      <c r="E27" s="407">
        <f t="shared" ref="E27:E30" si="1">IF(ISBLANK(C27),"",IF(ISBLANK(B27),D27,D27*B27))</f>
        <v>0</v>
      </c>
      <c r="F27" s="1052"/>
      <c r="G27" s="510"/>
      <c r="H27" s="1053"/>
      <c r="I27" s="1054"/>
      <c r="M27" s="378"/>
      <c r="N27" s="553">
        <f>IFERROR(VLOOKUP(G27,Ch6_Storage,2, FALSE),0)</f>
        <v>0</v>
      </c>
    </row>
    <row r="28" ht="18.75" customHeight="1">
      <c r="A28" s="1005">
        <f>IFERROR(VLOOKUP(H28,PartyStorage,2, FALSE),0)</f>
        <v>0</v>
      </c>
      <c r="B28" s="1055">
        <f>sum(Ch6_Gems)</f>
        <v>0</v>
      </c>
      <c r="C28" s="1056" t="s">
        <v>48</v>
      </c>
      <c r="D28" s="1057">
        <v>0.02</v>
      </c>
      <c r="E28" s="1058">
        <f t="shared" si="1"/>
        <v>0</v>
      </c>
      <c r="F28" s="1059"/>
      <c r="G28" s="1060"/>
      <c r="H28" s="1061"/>
      <c r="I28" s="1062"/>
      <c r="M28" s="1063"/>
      <c r="N28" s="553">
        <f>IFERROR(VLOOKUP(G28,Ch6_Storage,2, FALSE),0)</f>
        <v>0</v>
      </c>
    </row>
    <row r="29" ht="18.75" customHeight="1">
      <c r="A29" s="1005">
        <f>IFERROR(VLOOKUP(H29,PartyStorage,2, FALSE),0)</f>
        <v>0</v>
      </c>
      <c r="B29" s="405"/>
      <c r="C29" s="1064"/>
      <c r="D29" s="407"/>
      <c r="E29" s="407" t="str">
        <f t="shared" si="1"/>
        <v/>
      </c>
      <c r="F29" s="1052"/>
      <c r="G29" s="1065"/>
      <c r="H29" s="1065"/>
      <c r="I29" s="985"/>
      <c r="J29" s="399"/>
      <c r="K29" s="399"/>
      <c r="L29" s="399"/>
      <c r="M29" s="986"/>
      <c r="N29" s="553">
        <f>IFERROR(VLOOKUP(G29,Ch6_Storage,2, FALSE),0)</f>
        <v>0</v>
      </c>
    </row>
    <row r="30" ht="18.75" customHeight="1">
      <c r="A30" s="1005">
        <f>IFERROR(VLOOKUP(H30,PartyStorage,2, FALSE),0)</f>
        <v>0</v>
      </c>
      <c r="B30" s="1066"/>
      <c r="C30" s="1067"/>
      <c r="D30" s="1058"/>
      <c r="E30" s="1058" t="str">
        <f t="shared" si="1"/>
        <v/>
      </c>
      <c r="F30" s="1059"/>
      <c r="G30" s="1061"/>
      <c r="H30" s="1061"/>
      <c r="I30" s="1068"/>
      <c r="M30" s="1063"/>
      <c r="N30" s="553">
        <f>IFERROR(VLOOKUP(G30,Ch6_Storage,2, FALSE),0)</f>
        <v>0</v>
      </c>
    </row>
    <row r="31" ht="18.75" customHeight="1">
      <c r="A31" s="1005">
        <f>IFERROR(VLOOKUP(H31,PartyStorage,2, FALSE),0)</f>
        <v>0</v>
      </c>
      <c r="B31" s="405"/>
      <c r="C31" s="1064"/>
      <c r="D31" s="407"/>
      <c r="E31" s="1069"/>
      <c r="F31" s="1052"/>
      <c r="G31" s="1065"/>
      <c r="H31" s="1065"/>
      <c r="I31" s="1070"/>
      <c r="N31" s="553">
        <f>IFERROR(VLOOKUP(G31,Ch6_Storage,2, FALSE),0)</f>
        <v>0</v>
      </c>
    </row>
    <row r="32" ht="18.75" customHeight="1">
      <c r="A32" s="1005">
        <f>IFERROR(VLOOKUP(H32,PartyStorage,2, FALSE),0)</f>
        <v>0</v>
      </c>
      <c r="B32" s="1066"/>
      <c r="C32" s="1067"/>
      <c r="D32" s="1058"/>
      <c r="E32" s="1058" t="str">
        <f t="shared" ref="E32:E208" si="2">IF(ISBLANK(C32),"",IF(ISBLANK(B32),D32,D32*B32))</f>
        <v/>
      </c>
      <c r="F32" s="1059"/>
      <c r="G32" s="1061"/>
      <c r="H32" s="1061"/>
      <c r="I32" s="1068"/>
      <c r="M32" s="1063"/>
      <c r="N32" s="553">
        <f>IFERROR(VLOOKUP(G32,Ch6_Storage,2, FALSE),0)</f>
        <v>0</v>
      </c>
    </row>
    <row r="33" ht="18.75" customHeight="1">
      <c r="A33" s="1005">
        <f>IFERROR(VLOOKUP(H33,PartyStorage,2, FALSE),0)</f>
        <v>0</v>
      </c>
      <c r="B33" s="405"/>
      <c r="C33" s="1064"/>
      <c r="D33" s="407"/>
      <c r="E33" s="407" t="str">
        <f t="shared" si="2"/>
        <v/>
      </c>
      <c r="F33" s="1052"/>
      <c r="G33" s="1065"/>
      <c r="H33" s="1065"/>
      <c r="I33" s="1071"/>
      <c r="M33" s="378"/>
      <c r="N33" s="553">
        <f>IFERROR(VLOOKUP(G33,Ch6_Storage,2, FALSE),0)</f>
        <v>0</v>
      </c>
    </row>
    <row r="34" ht="18.75" customHeight="1">
      <c r="A34" s="1005">
        <f>IFERROR(VLOOKUP(H34,PartyStorage,2, FALSE),0)</f>
        <v>0</v>
      </c>
      <c r="B34" s="1066"/>
      <c r="C34" s="1067"/>
      <c r="D34" s="1058"/>
      <c r="E34" s="1058" t="str">
        <f t="shared" si="2"/>
        <v/>
      </c>
      <c r="F34" s="1059"/>
      <c r="G34" s="1061"/>
      <c r="H34" s="1061"/>
      <c r="I34" s="1068"/>
      <c r="M34" s="1063"/>
      <c r="N34" s="553">
        <f>IFERROR(VLOOKUP(G34,Ch6_Storage,2, FALSE),0)</f>
        <v>0</v>
      </c>
    </row>
    <row r="35" ht="18.75" customHeight="1">
      <c r="A35" s="1005">
        <f>IFERROR(VLOOKUP(H35,PartyStorage,2, FALSE),0)</f>
        <v>0</v>
      </c>
      <c r="B35" s="405"/>
      <c r="C35" s="1064"/>
      <c r="D35" s="407"/>
      <c r="E35" s="407" t="str">
        <f t="shared" si="2"/>
        <v/>
      </c>
      <c r="F35" s="1052"/>
      <c r="G35" s="1065"/>
      <c r="H35" s="1053"/>
      <c r="I35" s="1054"/>
      <c r="M35" s="378"/>
      <c r="N35" s="553">
        <f>IFERROR(VLOOKUP(G35,Ch6_Storage,2, FALSE),0)</f>
        <v>0</v>
      </c>
    </row>
    <row r="36" ht="18.75" customHeight="1">
      <c r="A36" s="1005">
        <f>IFERROR(VLOOKUP(H36,PartyStorage,2, FALSE),0)</f>
        <v>0</v>
      </c>
      <c r="B36" s="1066"/>
      <c r="C36" s="1067"/>
      <c r="D36" s="1058"/>
      <c r="E36" s="1058" t="str">
        <f t="shared" si="2"/>
        <v/>
      </c>
      <c r="F36" s="1059"/>
      <c r="G36" s="1061"/>
      <c r="H36" s="1072"/>
      <c r="I36" s="1062"/>
      <c r="M36" s="1063"/>
      <c r="N36" s="553">
        <f>IFERROR(VLOOKUP(G36,Ch6_Storage,2, FALSE),0)</f>
        <v>0</v>
      </c>
    </row>
    <row r="37" ht="18.75" customHeight="1">
      <c r="A37" s="1005">
        <f>IFERROR(VLOOKUP(H37,PartyStorage,2, FALSE),0)</f>
        <v>0</v>
      </c>
      <c r="B37" s="405"/>
      <c r="C37" s="1064"/>
      <c r="D37" s="407"/>
      <c r="E37" s="407" t="str">
        <f t="shared" si="2"/>
        <v/>
      </c>
      <c r="F37" s="1052"/>
      <c r="G37" s="1065"/>
      <c r="H37" s="1065"/>
      <c r="I37" s="1054"/>
      <c r="M37" s="378"/>
      <c r="N37" s="553">
        <f>IFERROR(VLOOKUP(G37,Ch6_Storage,2, FALSE),0)</f>
        <v>0</v>
      </c>
    </row>
    <row r="38" ht="18.75" customHeight="1">
      <c r="A38" s="1005">
        <f>IFERROR(VLOOKUP(H38,PartyStorage,2, FALSE),0)</f>
        <v>0</v>
      </c>
      <c r="B38" s="1066"/>
      <c r="C38" s="1067"/>
      <c r="D38" s="1058"/>
      <c r="E38" s="1058" t="str">
        <f t="shared" si="2"/>
        <v/>
      </c>
      <c r="F38" s="1059"/>
      <c r="G38" s="1061"/>
      <c r="H38" s="1072"/>
      <c r="I38" s="1062"/>
      <c r="M38" s="1063"/>
      <c r="N38" s="553">
        <f>IFERROR(VLOOKUP(G38,Ch6_Storage,2, FALSE),0)</f>
        <v>0</v>
      </c>
    </row>
    <row r="39" ht="18.75" customHeight="1">
      <c r="A39" s="1005">
        <f>IFERROR(VLOOKUP(H39,PartyStorage,2, FALSE),0)</f>
        <v>0</v>
      </c>
      <c r="B39" s="405"/>
      <c r="C39" s="1064"/>
      <c r="D39" s="407"/>
      <c r="E39" s="407" t="str">
        <f t="shared" si="2"/>
        <v/>
      </c>
      <c r="F39" s="1052"/>
      <c r="G39" s="1065"/>
      <c r="H39" s="1065"/>
      <c r="I39" s="1054"/>
      <c r="M39" s="378"/>
      <c r="N39" s="553">
        <f>IFERROR(VLOOKUP(G39,Ch6_Storage,2, FALSE),0)</f>
        <v>0</v>
      </c>
    </row>
    <row r="40" ht="18.75" customHeight="1">
      <c r="A40" s="1005">
        <f>IFERROR(VLOOKUP(H40,PartyStorage,2, FALSE),0)</f>
        <v>0</v>
      </c>
      <c r="B40" s="1066"/>
      <c r="C40" s="1067"/>
      <c r="D40" s="1058"/>
      <c r="E40" s="1058" t="str">
        <f t="shared" si="2"/>
        <v/>
      </c>
      <c r="F40" s="1059"/>
      <c r="G40" s="1061"/>
      <c r="H40" s="1061"/>
      <c r="I40" s="1062"/>
      <c r="M40" s="1063"/>
      <c r="N40" s="553">
        <f>IFERROR(VLOOKUP(G40,Ch6_Storage,2, FALSE),0)</f>
        <v>0</v>
      </c>
    </row>
    <row r="41" ht="18.75" customHeight="1">
      <c r="A41" s="1005">
        <f>IFERROR(VLOOKUP(H41,PartyStorage,2, FALSE),0)</f>
        <v>0</v>
      </c>
      <c r="B41" s="405"/>
      <c r="C41" s="1064"/>
      <c r="D41" s="407"/>
      <c r="E41" s="407" t="str">
        <f t="shared" si="2"/>
        <v/>
      </c>
      <c r="F41" s="1052"/>
      <c r="G41" s="1065"/>
      <c r="H41" s="1065"/>
      <c r="I41" s="1054"/>
      <c r="M41" s="378"/>
      <c r="N41" s="553">
        <f>IFERROR(VLOOKUP(G41,Ch6_Storage,2, FALSE),0)</f>
        <v>0</v>
      </c>
    </row>
    <row r="42" ht="18.75" customHeight="1">
      <c r="A42" s="1005">
        <f>IFERROR(VLOOKUP(H42,PartyStorage,2, FALSE),0)</f>
        <v>0</v>
      </c>
      <c r="B42" s="1066"/>
      <c r="C42" s="1067"/>
      <c r="D42" s="1058"/>
      <c r="E42" s="1058" t="str">
        <f t="shared" si="2"/>
        <v/>
      </c>
      <c r="F42" s="1059"/>
      <c r="G42" s="1061"/>
      <c r="H42" s="1061"/>
      <c r="I42" s="1062"/>
      <c r="M42" s="1063"/>
      <c r="N42" s="553">
        <f>IFERROR(VLOOKUP(G42,Ch6_Storage,2, FALSE),0)</f>
        <v>0</v>
      </c>
    </row>
    <row r="43" ht="18.75" customHeight="1">
      <c r="A43" s="1005">
        <f>IFERROR(VLOOKUP(H43,PartyStorage,2, FALSE),0)</f>
        <v>0</v>
      </c>
      <c r="B43" s="405"/>
      <c r="C43" s="1064"/>
      <c r="D43" s="407"/>
      <c r="E43" s="407" t="str">
        <f t="shared" si="2"/>
        <v/>
      </c>
      <c r="F43" s="1052"/>
      <c r="G43" s="1065"/>
      <c r="H43" s="1065"/>
      <c r="I43" s="1054"/>
      <c r="M43" s="378"/>
      <c r="N43" s="553">
        <f>IFERROR(VLOOKUP(G43,Ch6_Storage,2, FALSE),0)</f>
        <v>0</v>
      </c>
    </row>
    <row r="44" ht="18.75" customHeight="1">
      <c r="A44" s="1005">
        <f>IFERROR(VLOOKUP(H44,PartyStorage,2, FALSE),0)</f>
        <v>0</v>
      </c>
      <c r="B44" s="1066"/>
      <c r="C44" s="1067"/>
      <c r="D44" s="1058"/>
      <c r="E44" s="1058" t="str">
        <f t="shared" si="2"/>
        <v/>
      </c>
      <c r="F44" s="1059"/>
      <c r="G44" s="1061"/>
      <c r="H44" s="1061"/>
      <c r="I44" s="1062"/>
      <c r="M44" s="1063"/>
      <c r="N44" s="553">
        <f>IFERROR(VLOOKUP(G44,Ch6_Storage,2, FALSE),0)</f>
        <v>0</v>
      </c>
    </row>
    <row r="45" ht="18.75" customHeight="1">
      <c r="A45" s="1005">
        <f>IFERROR(VLOOKUP(H45,PartyStorage,2, FALSE),0)</f>
        <v>0</v>
      </c>
      <c r="B45" s="405"/>
      <c r="C45" s="1064"/>
      <c r="D45" s="407"/>
      <c r="E45" s="407" t="str">
        <f t="shared" si="2"/>
        <v/>
      </c>
      <c r="F45" s="1052"/>
      <c r="G45" s="1065"/>
      <c r="H45" s="1065"/>
      <c r="I45" s="1054"/>
      <c r="M45" s="378"/>
      <c r="N45" s="553">
        <f>IFERROR(VLOOKUP(G45,Ch6_Storage,2, FALSE),0)</f>
        <v>0</v>
      </c>
    </row>
    <row r="46" ht="18.75" customHeight="1">
      <c r="A46" s="1005">
        <f>IFERROR(VLOOKUP(H46,PartyStorage,2, FALSE),0)</f>
        <v>0</v>
      </c>
      <c r="B46" s="1066"/>
      <c r="C46" s="1067"/>
      <c r="D46" s="1058"/>
      <c r="E46" s="1058" t="str">
        <f t="shared" si="2"/>
        <v/>
      </c>
      <c r="F46" s="1059"/>
      <c r="G46" s="1061"/>
      <c r="H46" s="1061"/>
      <c r="I46" s="1062"/>
      <c r="M46" s="1063"/>
      <c r="N46" s="553">
        <f>IFERROR(VLOOKUP(G46,Ch6_Storage,2, FALSE),0)</f>
        <v>0</v>
      </c>
    </row>
    <row r="47" ht="18.75" customHeight="1">
      <c r="A47" s="1005">
        <f>IFERROR(VLOOKUP(H47,PartyStorage,2, FALSE),0)</f>
        <v>0</v>
      </c>
      <c r="B47" s="405"/>
      <c r="C47" s="1064"/>
      <c r="D47" s="407"/>
      <c r="E47" s="407" t="str">
        <f t="shared" si="2"/>
        <v/>
      </c>
      <c r="F47" s="1052"/>
      <c r="G47" s="1065"/>
      <c r="H47" s="1065"/>
      <c r="I47" s="1054"/>
      <c r="M47" s="378"/>
      <c r="N47" s="553">
        <f>IFERROR(VLOOKUP(G47,Ch6_Storage,2, FALSE),0)</f>
        <v>0</v>
      </c>
    </row>
    <row r="48" ht="18.75" customHeight="1">
      <c r="A48" s="1005">
        <f>IFERROR(VLOOKUP(H48,PartyStorage,2, FALSE),0)</f>
        <v>0</v>
      </c>
      <c r="B48" s="1066"/>
      <c r="C48" s="1067"/>
      <c r="D48" s="1058"/>
      <c r="E48" s="1058" t="str">
        <f t="shared" si="2"/>
        <v/>
      </c>
      <c r="F48" s="1059"/>
      <c r="G48" s="1061"/>
      <c r="H48" s="1072"/>
      <c r="I48" s="1068"/>
      <c r="M48" s="1063"/>
      <c r="N48" s="553">
        <f>IFERROR(VLOOKUP(G48,Ch6_Storage,2, FALSE),0)</f>
        <v>0</v>
      </c>
    </row>
    <row r="49" ht="18.75" customHeight="1">
      <c r="A49" s="1005">
        <f>IFERROR(VLOOKUP(H49,PartyStorage,2, FALSE),0)</f>
        <v>0</v>
      </c>
      <c r="B49" s="405"/>
      <c r="C49" s="1064"/>
      <c r="D49" s="407"/>
      <c r="E49" s="407" t="str">
        <f t="shared" si="2"/>
        <v/>
      </c>
      <c r="F49" s="1052"/>
      <c r="G49" s="1065"/>
      <c r="H49" s="1053"/>
      <c r="I49" s="1054"/>
      <c r="M49" s="378"/>
      <c r="N49" s="553">
        <f>IFERROR(VLOOKUP(G49,Ch6_Storage,2, FALSE),0)</f>
        <v>0</v>
      </c>
    </row>
    <row r="50" ht="18.75" customHeight="1">
      <c r="A50" s="1005">
        <f>IFERROR(VLOOKUP(H50,PartyStorage,2, FALSE),0)</f>
        <v>0</v>
      </c>
      <c r="B50" s="1066"/>
      <c r="C50" s="1067"/>
      <c r="D50" s="1058"/>
      <c r="E50" s="1058" t="str">
        <f t="shared" si="2"/>
        <v/>
      </c>
      <c r="F50" s="1059"/>
      <c r="G50" s="1061"/>
      <c r="H50" s="1061"/>
      <c r="I50" s="1062"/>
      <c r="M50" s="1063"/>
      <c r="N50" s="553">
        <f>IFERROR(VLOOKUP(G50,Ch6_Storage,2, FALSE),0)</f>
        <v>0</v>
      </c>
    </row>
    <row r="51" ht="18.75" customHeight="1">
      <c r="A51" s="1005">
        <f>IFERROR(VLOOKUP(H51,PartyStorage,2, FALSE),0)</f>
        <v>0</v>
      </c>
      <c r="B51" s="405"/>
      <c r="C51" s="1064"/>
      <c r="D51" s="407"/>
      <c r="E51" s="407" t="str">
        <f t="shared" si="2"/>
        <v/>
      </c>
      <c r="F51" s="1052"/>
      <c r="G51" s="1065"/>
      <c r="H51" s="1065"/>
      <c r="I51" s="1054"/>
      <c r="M51" s="378"/>
      <c r="N51" s="553">
        <f>IFERROR(VLOOKUP(G51,Ch6_Storage,2, FALSE),0)</f>
        <v>0</v>
      </c>
    </row>
    <row r="52" ht="18.75" customHeight="1">
      <c r="A52" s="1005">
        <f>IFERROR(VLOOKUP(H52,PartyStorage,2, FALSE),0)</f>
        <v>0</v>
      </c>
      <c r="B52" s="1066"/>
      <c r="C52" s="1067"/>
      <c r="D52" s="1058"/>
      <c r="E52" s="1058" t="str">
        <f t="shared" si="2"/>
        <v/>
      </c>
      <c r="F52" s="1059"/>
      <c r="G52" s="1061"/>
      <c r="H52" s="1061"/>
      <c r="I52" s="1062"/>
      <c r="M52" s="1063"/>
      <c r="N52" s="553">
        <f>IFERROR(VLOOKUP(G52,Ch6_Storage,2, FALSE),0)</f>
        <v>0</v>
      </c>
    </row>
    <row r="53" ht="18.75" customHeight="1">
      <c r="A53" s="1005">
        <f>IFERROR(VLOOKUP(H53,PartyStorage,2, FALSE),0)</f>
        <v>0</v>
      </c>
      <c r="B53" s="405"/>
      <c r="C53" s="1064"/>
      <c r="D53" s="407"/>
      <c r="E53" s="407" t="str">
        <f t="shared" si="2"/>
        <v/>
      </c>
      <c r="F53" s="1052"/>
      <c r="G53" s="1065"/>
      <c r="H53" s="1065"/>
      <c r="I53" s="1054"/>
      <c r="M53" s="378"/>
      <c r="N53" s="553">
        <f>IFERROR(VLOOKUP(G53,Ch6_Storage,2, FALSE),0)</f>
        <v>0</v>
      </c>
    </row>
    <row r="54" ht="18.75" customHeight="1">
      <c r="A54" s="1005">
        <f>IFERROR(VLOOKUP(H54,PartyStorage,2, FALSE),0)</f>
        <v>0</v>
      </c>
      <c r="B54" s="1066"/>
      <c r="C54" s="1067"/>
      <c r="D54" s="1058"/>
      <c r="E54" s="1058" t="str">
        <f t="shared" si="2"/>
        <v/>
      </c>
      <c r="F54" s="1059"/>
      <c r="G54" s="1061"/>
      <c r="H54" s="1061"/>
      <c r="I54" s="1062"/>
      <c r="M54" s="1063"/>
      <c r="N54" s="553">
        <f>IFERROR(VLOOKUP(G54,Ch6_Storage,2, FALSE),0)</f>
        <v>0</v>
      </c>
    </row>
    <row r="55" ht="18.75" customHeight="1">
      <c r="A55" s="1005">
        <f>IFERROR(VLOOKUP(H55,PartyStorage,2, FALSE),0)</f>
        <v>0</v>
      </c>
      <c r="B55" s="405"/>
      <c r="C55" s="1064"/>
      <c r="D55" s="407"/>
      <c r="E55" s="407" t="str">
        <f t="shared" si="2"/>
        <v/>
      </c>
      <c r="F55" s="1052"/>
      <c r="G55" s="1065"/>
      <c r="H55" s="1053"/>
      <c r="I55" s="1054"/>
      <c r="M55" s="378"/>
      <c r="N55" s="553">
        <f>IFERROR(VLOOKUP(G55,Ch6_Storage,2, FALSE),0)</f>
        <v>0</v>
      </c>
    </row>
    <row r="56" ht="18.75" customHeight="1">
      <c r="A56" s="1005">
        <f>IFERROR(VLOOKUP(H56,PartyStorage,2, FALSE),0)</f>
        <v>0</v>
      </c>
      <c r="B56" s="1066"/>
      <c r="C56" s="1067"/>
      <c r="D56" s="1058"/>
      <c r="E56" s="1058" t="str">
        <f t="shared" si="2"/>
        <v/>
      </c>
      <c r="F56" s="1059"/>
      <c r="G56" s="1061"/>
      <c r="H56" s="1072"/>
      <c r="I56" s="1068"/>
      <c r="M56" s="1063"/>
      <c r="N56" s="553">
        <f>IFERROR(VLOOKUP(G56,Ch6_Storage,2, FALSE),0)</f>
        <v>0</v>
      </c>
    </row>
    <row r="57" ht="18.75" customHeight="1">
      <c r="A57" s="1005">
        <f>IFERROR(VLOOKUP(H57,PartyStorage,2, FALSE),0)</f>
        <v>0</v>
      </c>
      <c r="B57" s="405"/>
      <c r="C57" s="1064"/>
      <c r="D57" s="407"/>
      <c r="E57" s="407" t="str">
        <f t="shared" si="2"/>
        <v/>
      </c>
      <c r="F57" s="1052"/>
      <c r="G57" s="1065"/>
      <c r="H57" s="1053"/>
      <c r="I57" s="1073"/>
      <c r="J57" s="399"/>
      <c r="K57" s="399"/>
      <c r="L57" s="399"/>
      <c r="M57" s="986"/>
      <c r="N57" s="553">
        <f>IFERROR(VLOOKUP(G57,Ch6_Storage,2, FALSE),0)</f>
        <v>0</v>
      </c>
    </row>
    <row r="58" ht="18.75" customHeight="1">
      <c r="A58" s="1005">
        <f>IFERROR(VLOOKUP(H58,PartyStorage,2, FALSE),0)</f>
        <v>0</v>
      </c>
      <c r="B58" s="1066"/>
      <c r="C58" s="1067"/>
      <c r="D58" s="1058"/>
      <c r="E58" s="1058" t="str">
        <f t="shared" si="2"/>
        <v/>
      </c>
      <c r="F58" s="1059"/>
      <c r="G58" s="1061"/>
      <c r="H58" s="1072"/>
      <c r="I58" s="1062"/>
      <c r="M58" s="1063"/>
      <c r="N58" s="553">
        <f>IFERROR(VLOOKUP(G58,Ch6_Storage,2, FALSE),0)</f>
        <v>0</v>
      </c>
    </row>
    <row r="59" ht="18.75" customHeight="1">
      <c r="A59" s="1005">
        <f>IFERROR(VLOOKUP(H59,PartyStorage,2, FALSE),0)</f>
        <v>0</v>
      </c>
      <c r="B59" s="405"/>
      <c r="C59" s="1064"/>
      <c r="D59" s="407"/>
      <c r="E59" s="407" t="str">
        <f t="shared" si="2"/>
        <v/>
      </c>
      <c r="F59" s="1052"/>
      <c r="G59" s="1065"/>
      <c r="H59" s="1065"/>
      <c r="I59" s="1054"/>
      <c r="M59" s="378"/>
      <c r="N59" s="553">
        <f>IFERROR(VLOOKUP(G59,Ch6_Storage,2, FALSE),0)</f>
        <v>0</v>
      </c>
    </row>
    <row r="60" ht="18.75" customHeight="1">
      <c r="A60" s="1005">
        <f>IFERROR(VLOOKUP(H60,PartyStorage,2, FALSE),0)</f>
        <v>0</v>
      </c>
      <c r="B60" s="1066"/>
      <c r="C60" s="1067"/>
      <c r="D60" s="1058"/>
      <c r="E60" s="1058" t="str">
        <f t="shared" si="2"/>
        <v/>
      </c>
      <c r="F60" s="1059"/>
      <c r="G60" s="1061"/>
      <c r="H60" s="1072"/>
      <c r="I60" s="1062"/>
      <c r="M60" s="1063"/>
      <c r="N60" s="553">
        <f>IFERROR(VLOOKUP(G60,Ch6_Storage,2, FALSE),0)</f>
        <v>0</v>
      </c>
    </row>
    <row r="61" ht="18.75" customHeight="1">
      <c r="A61" s="1005">
        <f>IFERROR(VLOOKUP(H61,PartyStorage,2, FALSE),0)</f>
        <v>0</v>
      </c>
      <c r="B61" s="405"/>
      <c r="C61" s="1064"/>
      <c r="D61" s="407"/>
      <c r="E61" s="407" t="str">
        <f t="shared" si="2"/>
        <v/>
      </c>
      <c r="F61" s="1052"/>
      <c r="G61" s="1065"/>
      <c r="H61" s="1053"/>
      <c r="I61" s="1054"/>
      <c r="M61" s="378"/>
      <c r="N61" s="553">
        <f>IFERROR(VLOOKUP(G61,Ch6_Storage,2, FALSE),0)</f>
        <v>0</v>
      </c>
    </row>
    <row r="62" ht="18.75" customHeight="1">
      <c r="A62" s="1005">
        <f>IFERROR(VLOOKUP(H62,PartyStorage,2, FALSE),0)</f>
        <v>0</v>
      </c>
      <c r="B62" s="1066"/>
      <c r="C62" s="1067"/>
      <c r="D62" s="1058"/>
      <c r="E62" s="1058" t="str">
        <f t="shared" si="2"/>
        <v/>
      </c>
      <c r="F62" s="1059"/>
      <c r="G62" s="1061"/>
      <c r="H62" s="1061"/>
      <c r="I62" s="1062"/>
      <c r="M62" s="1063"/>
      <c r="N62" s="553">
        <f>IFERROR(VLOOKUP(G62,Ch6_Storage,2, FALSE),0)</f>
        <v>0</v>
      </c>
    </row>
    <row r="63" ht="18.75" customHeight="1">
      <c r="A63" s="1005">
        <f>IFERROR(VLOOKUP(H63,PartyStorage,2, FALSE),0)</f>
        <v>0</v>
      </c>
      <c r="B63" s="405"/>
      <c r="C63" s="1064"/>
      <c r="D63" s="407"/>
      <c r="E63" s="407" t="str">
        <f t="shared" si="2"/>
        <v/>
      </c>
      <c r="F63" s="1052"/>
      <c r="G63" s="1065"/>
      <c r="H63" s="1065"/>
      <c r="I63" s="1054"/>
      <c r="M63" s="378"/>
      <c r="N63" s="553">
        <f>IFERROR(VLOOKUP(G63,Ch6_Storage,2, FALSE),0)</f>
        <v>0</v>
      </c>
    </row>
    <row r="64" ht="18.75" customHeight="1">
      <c r="A64" s="1005">
        <f>IFERROR(VLOOKUP(H64,PartyStorage,2, FALSE),0)</f>
        <v>0</v>
      </c>
      <c r="B64" s="1066"/>
      <c r="C64" s="1067"/>
      <c r="D64" s="1058"/>
      <c r="E64" s="1058" t="str">
        <f t="shared" si="2"/>
        <v/>
      </c>
      <c r="F64" s="1059"/>
      <c r="G64" s="1061"/>
      <c r="H64" s="1072"/>
      <c r="I64" s="1062"/>
      <c r="M64" s="1063"/>
      <c r="N64" s="553">
        <f>IFERROR(VLOOKUP(G64,Ch6_Storage,2, FALSE),0)</f>
        <v>0</v>
      </c>
    </row>
    <row r="65" ht="18.75" customHeight="1">
      <c r="A65" s="1005">
        <f>IFERROR(VLOOKUP(H65,PartyStorage,2, FALSE),0)</f>
        <v>0</v>
      </c>
      <c r="B65" s="405"/>
      <c r="C65" s="1064"/>
      <c r="D65" s="407"/>
      <c r="E65" s="407" t="str">
        <f t="shared" si="2"/>
        <v/>
      </c>
      <c r="F65" s="1052"/>
      <c r="G65" s="1065"/>
      <c r="H65" s="1065"/>
      <c r="I65" s="1074"/>
      <c r="J65" s="409"/>
      <c r="K65" s="409"/>
      <c r="L65" s="409"/>
      <c r="M65" s="1075"/>
      <c r="N65" s="553">
        <f>IFERROR(VLOOKUP(G65,Ch6_Storage,2, FALSE),0)</f>
        <v>0</v>
      </c>
    </row>
    <row r="66" ht="18.75" customHeight="1">
      <c r="A66" s="1005">
        <f>IFERROR(VLOOKUP(H66,PartyStorage,2, FALSE),0)</f>
        <v>0</v>
      </c>
      <c r="B66" s="1066"/>
      <c r="C66" s="1067"/>
      <c r="D66" s="1058"/>
      <c r="E66" s="1058" t="str">
        <f t="shared" si="2"/>
        <v/>
      </c>
      <c r="F66" s="1059"/>
      <c r="G66" s="1061"/>
      <c r="H66" s="1072"/>
      <c r="I66" s="1068"/>
      <c r="M66" s="1063"/>
      <c r="N66" s="553">
        <f>IFERROR(VLOOKUP(G66,Ch6_Storage,2, FALSE),0)</f>
        <v>0</v>
      </c>
    </row>
    <row r="67" ht="18.75" customHeight="1">
      <c r="A67" s="1005">
        <f>IFERROR(VLOOKUP(H67,PartyStorage,2, FALSE),0)</f>
        <v>0</v>
      </c>
      <c r="B67" s="405"/>
      <c r="C67" s="1064"/>
      <c r="D67" s="407"/>
      <c r="E67" s="407" t="str">
        <f t="shared" si="2"/>
        <v/>
      </c>
      <c r="F67" s="1052"/>
      <c r="G67" s="1065"/>
      <c r="H67" s="1065"/>
      <c r="I67" s="1054"/>
      <c r="M67" s="378"/>
      <c r="N67" s="553">
        <f>IFERROR(VLOOKUP(G67,Ch6_Storage,2, FALSE),0)</f>
        <v>0</v>
      </c>
    </row>
    <row r="68" ht="18.75" customHeight="1">
      <c r="A68" s="1005">
        <f>IFERROR(VLOOKUP(H68,PartyStorage,2, FALSE),0)</f>
        <v>0</v>
      </c>
      <c r="B68" s="1066"/>
      <c r="C68" s="1067"/>
      <c r="D68" s="1058"/>
      <c r="E68" s="1058" t="str">
        <f t="shared" si="2"/>
        <v/>
      </c>
      <c r="F68" s="1059"/>
      <c r="G68" s="1061"/>
      <c r="H68" s="1072"/>
      <c r="I68" s="1062"/>
      <c r="M68" s="1063"/>
      <c r="N68" s="553">
        <f>IFERROR(VLOOKUP(G68,Ch6_Storage,2, FALSE),0)</f>
        <v>0</v>
      </c>
    </row>
    <row r="69" ht="18.75" customHeight="1">
      <c r="A69" s="1005">
        <f>IFERROR(VLOOKUP(H69,PartyStorage,2, FALSE),0)</f>
        <v>0</v>
      </c>
      <c r="B69" s="405"/>
      <c r="C69" s="1064"/>
      <c r="D69" s="407"/>
      <c r="E69" s="407" t="str">
        <f t="shared" si="2"/>
        <v/>
      </c>
      <c r="F69" s="1052"/>
      <c r="G69" s="1065"/>
      <c r="H69" s="1053"/>
      <c r="I69" s="1076"/>
      <c r="J69" s="399"/>
      <c r="K69" s="399"/>
      <c r="L69" s="399"/>
      <c r="M69" s="986"/>
      <c r="N69" s="553">
        <f>IFERROR(VLOOKUP(G69,Ch6_Storage,2, FALSE),0)</f>
        <v>0</v>
      </c>
    </row>
    <row r="70" ht="18.75" customHeight="1">
      <c r="A70" s="1005">
        <f>IFERROR(VLOOKUP(H70,PartyStorage,2, FALSE),0)</f>
        <v>0</v>
      </c>
      <c r="B70" s="1066"/>
      <c r="C70" s="1067"/>
      <c r="D70" s="1058"/>
      <c r="E70" s="1058" t="str">
        <f t="shared" si="2"/>
        <v/>
      </c>
      <c r="F70" s="1059"/>
      <c r="G70" s="1061"/>
      <c r="H70" s="1072"/>
      <c r="I70" s="1068"/>
      <c r="M70" s="1063"/>
      <c r="N70" s="553">
        <f>IFERROR(VLOOKUP(G70,Ch6_Storage,2, FALSE),0)</f>
        <v>0</v>
      </c>
    </row>
    <row r="71" ht="18.75" customHeight="1">
      <c r="A71" s="1005">
        <f>IFERROR(VLOOKUP(H71,PartyStorage,2, FALSE),0)</f>
        <v>0</v>
      </c>
      <c r="B71" s="405"/>
      <c r="C71" s="1064"/>
      <c r="D71" s="407"/>
      <c r="E71" s="407" t="str">
        <f t="shared" si="2"/>
        <v/>
      </c>
      <c r="F71" s="1052"/>
      <c r="G71" s="1065"/>
      <c r="H71" s="1053"/>
      <c r="I71" s="1054"/>
      <c r="M71" s="378"/>
      <c r="N71" s="553">
        <f>IFERROR(VLOOKUP(G71,Ch6_Storage,2, FALSE),0)</f>
        <v>0</v>
      </c>
    </row>
    <row r="72" ht="18.75" customHeight="1">
      <c r="A72" s="1005">
        <f>IFERROR(VLOOKUP(H72,PartyStorage,2, FALSE),0)</f>
        <v>0</v>
      </c>
      <c r="B72" s="1066"/>
      <c r="C72" s="1067"/>
      <c r="D72" s="1058"/>
      <c r="E72" s="1058" t="str">
        <f t="shared" si="2"/>
        <v/>
      </c>
      <c r="F72" s="1059"/>
      <c r="G72" s="1061"/>
      <c r="H72" s="1061"/>
      <c r="I72" s="1068"/>
      <c r="M72" s="1063"/>
      <c r="N72" s="553">
        <f>IFERROR(VLOOKUP(G72,Ch6_Storage,2, FALSE),0)</f>
        <v>0</v>
      </c>
    </row>
    <row r="73" ht="18.75" customHeight="1">
      <c r="A73" s="1005">
        <f>IFERROR(VLOOKUP(H73,PartyStorage,2, FALSE),0)</f>
        <v>0</v>
      </c>
      <c r="B73" s="405"/>
      <c r="C73" s="1064"/>
      <c r="D73" s="407"/>
      <c r="E73" s="407" t="str">
        <f t="shared" si="2"/>
        <v/>
      </c>
      <c r="F73" s="1052"/>
      <c r="G73" s="1065"/>
      <c r="H73" s="1053"/>
      <c r="I73" s="1054"/>
      <c r="M73" s="378"/>
      <c r="N73" s="553">
        <f>IFERROR(VLOOKUP(G73,Ch6_Storage,2, FALSE),0)</f>
        <v>0</v>
      </c>
    </row>
    <row r="74" ht="18.75" customHeight="1">
      <c r="A74" s="1005">
        <f>IFERROR(VLOOKUP(H74,PartyStorage,2, FALSE),0)</f>
        <v>0</v>
      </c>
      <c r="B74" s="1066"/>
      <c r="C74" s="1067"/>
      <c r="D74" s="1058"/>
      <c r="E74" s="1058" t="str">
        <f t="shared" si="2"/>
        <v/>
      </c>
      <c r="F74" s="1059"/>
      <c r="G74" s="1061"/>
      <c r="H74" s="1072"/>
      <c r="I74" s="1068"/>
      <c r="M74" s="1063"/>
      <c r="N74" s="553">
        <f>IFERROR(VLOOKUP(G74,Ch6_Storage,2, FALSE),0)</f>
        <v>0</v>
      </c>
    </row>
    <row r="75" ht="18.75" customHeight="1">
      <c r="A75" s="1005">
        <f>IFERROR(VLOOKUP(H75,PartyStorage,2, FALSE),0)</f>
        <v>0</v>
      </c>
      <c r="B75" s="405"/>
      <c r="C75" s="1064"/>
      <c r="D75" s="407"/>
      <c r="E75" s="407" t="str">
        <f t="shared" si="2"/>
        <v/>
      </c>
      <c r="F75" s="1052"/>
      <c r="G75" s="1065"/>
      <c r="H75" s="1053"/>
      <c r="I75" s="1071"/>
      <c r="M75" s="378"/>
      <c r="N75" s="553">
        <f>IFERROR(VLOOKUP(G75,Ch6_Storage,2, FALSE),0)</f>
        <v>0</v>
      </c>
    </row>
    <row r="76" ht="18.75" customHeight="1">
      <c r="A76" s="1005">
        <f>IFERROR(VLOOKUP(H76,PartyStorage,2, FALSE),0)</f>
        <v>0</v>
      </c>
      <c r="B76" s="1066"/>
      <c r="C76" s="1067"/>
      <c r="D76" s="1058"/>
      <c r="E76" s="1058" t="str">
        <f t="shared" si="2"/>
        <v/>
      </c>
      <c r="F76" s="1059"/>
      <c r="G76" s="1061"/>
      <c r="H76" s="1072"/>
      <c r="I76" s="1062"/>
      <c r="M76" s="1063"/>
      <c r="N76" s="553">
        <f>IFERROR(VLOOKUP(G76,Ch6_Storage,2, FALSE),0)</f>
        <v>0</v>
      </c>
    </row>
    <row r="77" ht="18.75" customHeight="1">
      <c r="A77" s="1005">
        <f>IFERROR(VLOOKUP(H77,PartyStorage,2, FALSE),0)</f>
        <v>0</v>
      </c>
      <c r="B77" s="405"/>
      <c r="C77" s="1064"/>
      <c r="D77" s="1069"/>
      <c r="E77" s="407" t="str">
        <f t="shared" si="2"/>
        <v/>
      </c>
      <c r="F77" s="1052"/>
      <c r="G77" s="1065"/>
      <c r="H77" s="1053"/>
      <c r="I77" s="1054"/>
      <c r="M77" s="378"/>
      <c r="N77" s="553">
        <f>IFERROR(VLOOKUP(G77,Ch6_Storage,2, FALSE),0)</f>
        <v>0</v>
      </c>
    </row>
    <row r="78" ht="18.75" customHeight="1">
      <c r="A78" s="1005">
        <f>IFERROR(VLOOKUP(H78,PartyStorage,2, FALSE),0)</f>
        <v>0</v>
      </c>
      <c r="B78" s="1066"/>
      <c r="C78" s="1067"/>
      <c r="D78" s="1058"/>
      <c r="E78" s="1058" t="str">
        <f t="shared" si="2"/>
        <v/>
      </c>
      <c r="F78" s="1059"/>
      <c r="G78" s="1061"/>
      <c r="H78" s="1072"/>
      <c r="I78" s="1062"/>
      <c r="M78" s="1063"/>
      <c r="N78" s="553">
        <f>IFERROR(VLOOKUP(G78,Ch6_Storage,2, FALSE),0)</f>
        <v>0</v>
      </c>
    </row>
    <row r="79" ht="18.75" customHeight="1">
      <c r="A79" s="1005">
        <f>IFERROR(VLOOKUP(H79,PartyStorage,2, FALSE),0)</f>
        <v>0</v>
      </c>
      <c r="B79" s="1077"/>
      <c r="C79" s="1052"/>
      <c r="D79" s="1069"/>
      <c r="E79" s="407" t="str">
        <f t="shared" si="2"/>
        <v/>
      </c>
      <c r="F79" s="1052"/>
      <c r="G79" s="1065"/>
      <c r="H79" s="1053"/>
      <c r="I79" s="1054"/>
      <c r="M79" s="378"/>
      <c r="N79" s="553">
        <f>IFERROR(VLOOKUP(G79,Ch6_Storage,2, FALSE),0)</f>
        <v>0</v>
      </c>
    </row>
    <row r="80" ht="18.75" customHeight="1">
      <c r="A80" s="1005">
        <f>IFERROR(VLOOKUP(H80,PartyStorage,2, FALSE),0)</f>
        <v>0</v>
      </c>
      <c r="B80" s="1078"/>
      <c r="C80" s="1059"/>
      <c r="D80" s="1079"/>
      <c r="E80" s="1058" t="str">
        <f t="shared" si="2"/>
        <v/>
      </c>
      <c r="F80" s="1059"/>
      <c r="G80" s="1061"/>
      <c r="H80" s="1072"/>
      <c r="I80" s="1062"/>
      <c r="M80" s="1063"/>
      <c r="N80" s="553">
        <f>IFERROR(VLOOKUP(G80,Ch6_Storage,2, FALSE),0)</f>
        <v>0</v>
      </c>
    </row>
    <row r="81" ht="18.75" customHeight="1">
      <c r="A81" s="1005">
        <f>IFERROR(VLOOKUP(H81,PartyStorage,2, FALSE),0)</f>
        <v>0</v>
      </c>
      <c r="B81" s="1077"/>
      <c r="C81" s="1052"/>
      <c r="D81" s="1069"/>
      <c r="E81" s="407" t="str">
        <f t="shared" si="2"/>
        <v/>
      </c>
      <c r="F81" s="1052"/>
      <c r="G81" s="1065"/>
      <c r="H81" s="1053"/>
      <c r="I81" s="1054"/>
      <c r="M81" s="378"/>
      <c r="N81" s="553">
        <f>IFERROR(VLOOKUP(G81,Ch6_Storage,2, FALSE),0)</f>
        <v>0</v>
      </c>
    </row>
    <row r="82" ht="18.75" customHeight="1">
      <c r="A82" s="1005">
        <f>IFERROR(VLOOKUP(H82,PartyStorage,2, FALSE),0)</f>
        <v>0</v>
      </c>
      <c r="B82" s="1078"/>
      <c r="C82" s="1059"/>
      <c r="D82" s="1079"/>
      <c r="E82" s="1058" t="str">
        <f t="shared" si="2"/>
        <v/>
      </c>
      <c r="F82" s="1059"/>
      <c r="G82" s="1061"/>
      <c r="H82" s="1072"/>
      <c r="I82" s="1062"/>
      <c r="M82" s="1063"/>
      <c r="N82" s="553">
        <f>IFERROR(VLOOKUP(G82,Ch6_Storage,2, FALSE),0)</f>
        <v>0</v>
      </c>
    </row>
    <row r="83" ht="18.75" customHeight="1">
      <c r="A83" s="1005">
        <f>IFERROR(VLOOKUP(H83,PartyStorage,2, FALSE),0)</f>
        <v>0</v>
      </c>
      <c r="B83" s="1077"/>
      <c r="C83" s="1052"/>
      <c r="D83" s="1069"/>
      <c r="E83" s="407" t="str">
        <f t="shared" si="2"/>
        <v/>
      </c>
      <c r="F83" s="1052"/>
      <c r="G83" s="1065"/>
      <c r="H83" s="1053"/>
      <c r="I83" s="1054"/>
      <c r="M83" s="378"/>
      <c r="N83" s="553">
        <f>IFERROR(VLOOKUP(G83,Ch6_Storage,2, FALSE),0)</f>
        <v>0</v>
      </c>
    </row>
    <row r="84" ht="18.75" customHeight="1">
      <c r="A84" s="1005">
        <f>IFERROR(VLOOKUP(H84,PartyStorage,2, FALSE),0)</f>
        <v>0</v>
      </c>
      <c r="B84" s="1078"/>
      <c r="C84" s="1059"/>
      <c r="D84" s="1079"/>
      <c r="E84" s="1058" t="str">
        <f t="shared" si="2"/>
        <v/>
      </c>
      <c r="F84" s="1059"/>
      <c r="G84" s="1061"/>
      <c r="H84" s="1072"/>
      <c r="I84" s="1062"/>
      <c r="M84" s="1063"/>
      <c r="N84" s="553">
        <f>IFERROR(VLOOKUP(G84,Ch6_Storage,2, FALSE),0)</f>
        <v>0</v>
      </c>
    </row>
    <row r="85" ht="18.75" customHeight="1">
      <c r="A85" s="1005">
        <f>IFERROR(VLOOKUP(H85,PartyStorage,2, FALSE),0)</f>
        <v>0</v>
      </c>
      <c r="B85" s="1077"/>
      <c r="C85" s="1052"/>
      <c r="D85" s="1069"/>
      <c r="E85" s="407" t="str">
        <f t="shared" si="2"/>
        <v/>
      </c>
      <c r="F85" s="1052"/>
      <c r="G85" s="1065"/>
      <c r="H85" s="1053"/>
      <c r="I85" s="1054"/>
      <c r="M85" s="378"/>
      <c r="N85" s="553">
        <f>IFERROR(VLOOKUP(G85,Ch6_Storage,2, FALSE),0)</f>
        <v>0</v>
      </c>
    </row>
    <row r="86" ht="18.75" customHeight="1">
      <c r="A86" s="1005">
        <f>IFERROR(VLOOKUP(H86,PartyStorage,2, FALSE),0)</f>
        <v>0</v>
      </c>
      <c r="B86" s="1078"/>
      <c r="C86" s="1059"/>
      <c r="D86" s="1079"/>
      <c r="E86" s="1058" t="str">
        <f t="shared" si="2"/>
        <v/>
      </c>
      <c r="F86" s="1059"/>
      <c r="G86" s="1061"/>
      <c r="H86" s="1072"/>
      <c r="I86" s="1062"/>
      <c r="M86" s="1063"/>
      <c r="N86" s="553">
        <f>IFERROR(VLOOKUP(G86,Ch6_Storage,2, FALSE),0)</f>
        <v>0</v>
      </c>
    </row>
    <row r="87" ht="18.75" customHeight="1">
      <c r="A87" s="1005">
        <f>IFERROR(VLOOKUP(H87,PartyStorage,2, FALSE),0)</f>
        <v>0</v>
      </c>
      <c r="B87" s="1077"/>
      <c r="C87" s="1052"/>
      <c r="D87" s="1069"/>
      <c r="E87" s="407" t="str">
        <f t="shared" si="2"/>
        <v/>
      </c>
      <c r="F87" s="1052"/>
      <c r="G87" s="1065"/>
      <c r="H87" s="1053"/>
      <c r="I87" s="1054"/>
      <c r="M87" s="378"/>
      <c r="N87" s="553">
        <f>IFERROR(VLOOKUP(G87,Ch6_Storage,2, FALSE),0)</f>
        <v>0</v>
      </c>
    </row>
    <row r="88" ht="18.75" customHeight="1">
      <c r="A88" s="1005">
        <f>IFERROR(VLOOKUP(H88,PartyStorage,2, FALSE),0)</f>
        <v>0</v>
      </c>
      <c r="B88" s="1078"/>
      <c r="C88" s="1059"/>
      <c r="D88" s="1079"/>
      <c r="E88" s="1058" t="str">
        <f t="shared" si="2"/>
        <v/>
      </c>
      <c r="F88" s="1059"/>
      <c r="G88" s="1061"/>
      <c r="H88" s="1072"/>
      <c r="I88" s="1062"/>
      <c r="M88" s="1063"/>
      <c r="N88" s="553">
        <f>IFERROR(VLOOKUP(G88,Ch6_Storage,2, FALSE),0)</f>
        <v>0</v>
      </c>
    </row>
    <row r="89" ht="18.75" customHeight="1">
      <c r="A89" s="1005">
        <f>IFERROR(VLOOKUP(H89,PartyStorage,2, FALSE),0)</f>
        <v>0</v>
      </c>
      <c r="B89" s="1077"/>
      <c r="C89" s="1052"/>
      <c r="D89" s="1069"/>
      <c r="E89" s="407" t="str">
        <f t="shared" si="2"/>
        <v/>
      </c>
      <c r="F89" s="1052"/>
      <c r="G89" s="1065"/>
      <c r="H89" s="1053"/>
      <c r="I89" s="1054"/>
      <c r="M89" s="378"/>
      <c r="N89" s="553">
        <f>IFERROR(VLOOKUP(G89,Ch6_Storage,2, FALSE),0)</f>
        <v>0</v>
      </c>
    </row>
    <row r="90" ht="18.75" customHeight="1">
      <c r="A90" s="1005">
        <f>IFERROR(VLOOKUP(H90,PartyStorage,2, FALSE),0)</f>
        <v>0</v>
      </c>
      <c r="B90" s="1078"/>
      <c r="C90" s="1059"/>
      <c r="D90" s="1079"/>
      <c r="E90" s="1058" t="str">
        <f t="shared" si="2"/>
        <v/>
      </c>
      <c r="F90" s="1059"/>
      <c r="G90" s="1061"/>
      <c r="H90" s="1072"/>
      <c r="I90" s="1062"/>
      <c r="M90" s="1063"/>
      <c r="N90" s="553">
        <f>IFERROR(VLOOKUP(G90,Ch6_Storage,2, FALSE),0)</f>
        <v>0</v>
      </c>
    </row>
    <row r="91" ht="18.75" customHeight="1">
      <c r="A91" s="1005">
        <f>IFERROR(VLOOKUP(H91,PartyStorage,2, FALSE),0)</f>
        <v>0</v>
      </c>
      <c r="B91" s="1077"/>
      <c r="C91" s="1052"/>
      <c r="D91" s="1069"/>
      <c r="E91" s="407" t="str">
        <f t="shared" si="2"/>
        <v/>
      </c>
      <c r="F91" s="1052"/>
      <c r="G91" s="1065"/>
      <c r="H91" s="1053"/>
      <c r="I91" s="1054"/>
      <c r="M91" s="378"/>
      <c r="N91" s="553">
        <f>IFERROR(VLOOKUP(G91,Ch6_Storage,2, FALSE),0)</f>
        <v>0</v>
      </c>
    </row>
    <row r="92" ht="18.75" customHeight="1">
      <c r="A92" s="1005">
        <f>IFERROR(VLOOKUP(H92,PartyStorage,2, FALSE),0)</f>
        <v>0</v>
      </c>
      <c r="B92" s="1078"/>
      <c r="C92" s="1059"/>
      <c r="D92" s="1079"/>
      <c r="E92" s="1058" t="str">
        <f t="shared" si="2"/>
        <v/>
      </c>
      <c r="F92" s="1059"/>
      <c r="G92" s="1061"/>
      <c r="H92" s="1072"/>
      <c r="I92" s="1062"/>
      <c r="M92" s="1063"/>
      <c r="N92" s="553">
        <f>IFERROR(VLOOKUP(G92,Ch6_Storage,2, FALSE),0)</f>
        <v>0</v>
      </c>
    </row>
    <row r="93" ht="18.75" customHeight="1">
      <c r="A93" s="1005">
        <f>IFERROR(VLOOKUP(H93,PartyStorage,2, FALSE),0)</f>
        <v>0</v>
      </c>
      <c r="B93" s="1077"/>
      <c r="C93" s="1052"/>
      <c r="D93" s="1069"/>
      <c r="E93" s="407" t="str">
        <f t="shared" si="2"/>
        <v/>
      </c>
      <c r="F93" s="1052"/>
      <c r="G93" s="1065"/>
      <c r="H93" s="1053"/>
      <c r="I93" s="1054"/>
      <c r="M93" s="378"/>
      <c r="N93" s="553">
        <f>IFERROR(VLOOKUP(G93,Ch6_Storage,2, FALSE),0)</f>
        <v>0</v>
      </c>
    </row>
    <row r="94" ht="18.75" customHeight="1">
      <c r="A94" s="1005">
        <f>IFERROR(VLOOKUP(H94,PartyStorage,2, FALSE),0)</f>
        <v>0</v>
      </c>
      <c r="B94" s="1078"/>
      <c r="C94" s="1059"/>
      <c r="D94" s="1079"/>
      <c r="E94" s="1058" t="str">
        <f t="shared" si="2"/>
        <v/>
      </c>
      <c r="F94" s="1059"/>
      <c r="G94" s="1061"/>
      <c r="H94" s="1072"/>
      <c r="I94" s="1062"/>
      <c r="M94" s="1063"/>
      <c r="N94" s="553">
        <f>IFERROR(VLOOKUP(G94,Ch6_Storage,2, FALSE),0)</f>
        <v>0</v>
      </c>
    </row>
    <row r="95" ht="18.75" customHeight="1">
      <c r="A95" s="1005">
        <f>IFERROR(VLOOKUP(H95,PartyStorage,2, FALSE),0)</f>
        <v>0</v>
      </c>
      <c r="B95" s="1077"/>
      <c r="C95" s="1052"/>
      <c r="D95" s="1069"/>
      <c r="E95" s="407" t="str">
        <f t="shared" si="2"/>
        <v/>
      </c>
      <c r="F95" s="1052"/>
      <c r="G95" s="1065"/>
      <c r="H95" s="1053"/>
      <c r="I95" s="1054"/>
      <c r="M95" s="378"/>
      <c r="N95" s="553">
        <f>IFERROR(VLOOKUP(G95,Ch6_Storage,2, FALSE),0)</f>
        <v>0</v>
      </c>
    </row>
    <row r="96" ht="18.75" customHeight="1">
      <c r="A96" s="1005">
        <f>IFERROR(VLOOKUP(H96,PartyStorage,2, FALSE),0)</f>
        <v>0</v>
      </c>
      <c r="B96" s="1078"/>
      <c r="C96" s="1059"/>
      <c r="D96" s="1079"/>
      <c r="E96" s="1058" t="str">
        <f t="shared" si="2"/>
        <v/>
      </c>
      <c r="F96" s="1059"/>
      <c r="G96" s="1061"/>
      <c r="H96" s="1072"/>
      <c r="I96" s="1062"/>
      <c r="M96" s="1063"/>
      <c r="N96" s="553">
        <f>IFERROR(VLOOKUP(G96,Ch6_Storage,2, FALSE),0)</f>
        <v>0</v>
      </c>
    </row>
    <row r="97" ht="18.75" customHeight="1">
      <c r="A97" s="1005">
        <f>IFERROR(VLOOKUP(H97,PartyStorage,2, FALSE),0)</f>
        <v>0</v>
      </c>
      <c r="B97" s="1077"/>
      <c r="C97" s="1052"/>
      <c r="D97" s="1069"/>
      <c r="E97" s="407" t="str">
        <f t="shared" si="2"/>
        <v/>
      </c>
      <c r="F97" s="1052"/>
      <c r="G97" s="1065"/>
      <c r="H97" s="1053"/>
      <c r="I97" s="1054"/>
      <c r="M97" s="378"/>
      <c r="N97" s="553">
        <f>IFERROR(VLOOKUP(G97,Ch6_Storage,2, FALSE),0)</f>
        <v>0</v>
      </c>
    </row>
    <row r="98" ht="18.75" customHeight="1">
      <c r="A98" s="1005">
        <f>IFERROR(VLOOKUP(H98,PartyStorage,2, FALSE),0)</f>
        <v>0</v>
      </c>
      <c r="B98" s="1078"/>
      <c r="C98" s="1059"/>
      <c r="D98" s="1079"/>
      <c r="E98" s="1058" t="str">
        <f t="shared" si="2"/>
        <v/>
      </c>
      <c r="F98" s="1059"/>
      <c r="G98" s="1061"/>
      <c r="H98" s="1072"/>
      <c r="I98" s="1062"/>
      <c r="M98" s="1063"/>
      <c r="N98" s="553">
        <f>IFERROR(VLOOKUP(G98,Ch6_Storage,2, FALSE),0)</f>
        <v>0</v>
      </c>
    </row>
    <row r="99" ht="18.75" customHeight="1">
      <c r="A99" s="1005">
        <f>IFERROR(VLOOKUP(H99,PartyStorage,2, FALSE),0)</f>
        <v>0</v>
      </c>
      <c r="B99" s="1077"/>
      <c r="C99" s="1052"/>
      <c r="D99" s="1069"/>
      <c r="E99" s="407" t="str">
        <f t="shared" si="2"/>
        <v/>
      </c>
      <c r="F99" s="1052"/>
      <c r="G99" s="1065"/>
      <c r="H99" s="1053"/>
      <c r="I99" s="1054"/>
      <c r="M99" s="378"/>
      <c r="N99" s="553">
        <f>IFERROR(VLOOKUP(G99,Ch6_Storage,2, FALSE),0)</f>
        <v>0</v>
      </c>
    </row>
    <row r="100" ht="18.75" customHeight="1">
      <c r="A100" s="1005">
        <f>IFERROR(VLOOKUP(H100,PartyStorage,2, FALSE),0)</f>
        <v>0</v>
      </c>
      <c r="B100" s="1078"/>
      <c r="C100" s="1059"/>
      <c r="D100" s="1079"/>
      <c r="E100" s="1058" t="str">
        <f t="shared" si="2"/>
        <v/>
      </c>
      <c r="F100" s="1059"/>
      <c r="G100" s="1061"/>
      <c r="H100" s="1072"/>
      <c r="I100" s="1062"/>
      <c r="M100" s="1063"/>
      <c r="N100" s="553">
        <f>IFERROR(VLOOKUP(G100,Ch6_Storage,2, FALSE),0)</f>
        <v>0</v>
      </c>
    </row>
    <row r="101" ht="18.75" customHeight="1">
      <c r="A101" s="1005">
        <f>IFERROR(VLOOKUP(H101,PartyStorage,2, FALSE),0)</f>
        <v>0</v>
      </c>
      <c r="B101" s="1077"/>
      <c r="C101" s="1052"/>
      <c r="D101" s="1069"/>
      <c r="E101" s="407" t="str">
        <f t="shared" si="2"/>
        <v/>
      </c>
      <c r="F101" s="1052"/>
      <c r="G101" s="1065"/>
      <c r="H101" s="1053"/>
      <c r="I101" s="1054"/>
      <c r="M101" s="378"/>
      <c r="N101" s="553">
        <f>IFERROR(VLOOKUP(G101,Ch6_Storage,2, FALSE),0)</f>
        <v>0</v>
      </c>
    </row>
    <row r="102" ht="18.75" customHeight="1">
      <c r="A102" s="1005">
        <f>IFERROR(VLOOKUP(H102,PartyStorage,2, FALSE),0)</f>
        <v>0</v>
      </c>
      <c r="B102" s="1078"/>
      <c r="C102" s="1059"/>
      <c r="D102" s="1079"/>
      <c r="E102" s="1058" t="str">
        <f t="shared" si="2"/>
        <v/>
      </c>
      <c r="F102" s="1059"/>
      <c r="G102" s="1061"/>
      <c r="H102" s="1072"/>
      <c r="I102" s="1062"/>
      <c r="M102" s="1063"/>
      <c r="N102" s="553">
        <f>IFERROR(VLOOKUP(G102,Ch6_Storage,2, FALSE),0)</f>
        <v>0</v>
      </c>
    </row>
    <row r="103" ht="18.75" customHeight="1">
      <c r="A103" s="1005">
        <f>IFERROR(VLOOKUP(H103,PartyStorage,2, FALSE),0)</f>
        <v>0</v>
      </c>
      <c r="B103" s="1077"/>
      <c r="C103" s="1052"/>
      <c r="D103" s="1069"/>
      <c r="E103" s="407" t="str">
        <f t="shared" si="2"/>
        <v/>
      </c>
      <c r="F103" s="1052"/>
      <c r="G103" s="1065"/>
      <c r="H103" s="1053"/>
      <c r="I103" s="1054"/>
      <c r="M103" s="378"/>
      <c r="N103" s="553">
        <f>IFERROR(VLOOKUP(G103,Ch6_Storage,2, FALSE),0)</f>
        <v>0</v>
      </c>
    </row>
    <row r="104" ht="18.75" customHeight="1">
      <c r="A104" s="1005">
        <f>IFERROR(VLOOKUP(H104,PartyStorage,2, FALSE),0)</f>
        <v>0</v>
      </c>
      <c r="B104" s="1078"/>
      <c r="C104" s="1059"/>
      <c r="D104" s="1079"/>
      <c r="E104" s="1058" t="str">
        <f t="shared" si="2"/>
        <v/>
      </c>
      <c r="F104" s="1059"/>
      <c r="G104" s="1061"/>
      <c r="H104" s="1072"/>
      <c r="I104" s="1062"/>
      <c r="M104" s="1063"/>
      <c r="N104" s="553">
        <f>IFERROR(VLOOKUP(G104,Ch6_Storage,2, FALSE),0)</f>
        <v>0</v>
      </c>
    </row>
    <row r="105" ht="18.75" customHeight="1">
      <c r="A105" s="1005">
        <f>IFERROR(VLOOKUP(H105,PartyStorage,2, FALSE),0)</f>
        <v>0</v>
      </c>
      <c r="B105" s="1077"/>
      <c r="C105" s="1052"/>
      <c r="D105" s="1069"/>
      <c r="E105" s="407" t="str">
        <f t="shared" si="2"/>
        <v/>
      </c>
      <c r="F105" s="1052"/>
      <c r="G105" s="1065"/>
      <c r="H105" s="1053"/>
      <c r="I105" s="1054"/>
      <c r="M105" s="378"/>
      <c r="N105" s="553">
        <f>IFERROR(VLOOKUP(G105,Ch6_Storage,2, FALSE),0)</f>
        <v>0</v>
      </c>
    </row>
    <row r="106" ht="18.75" customHeight="1">
      <c r="A106" s="1005">
        <f>IFERROR(VLOOKUP(H106,PartyStorage,2, FALSE),0)</f>
        <v>0</v>
      </c>
      <c r="B106" s="1078"/>
      <c r="C106" s="1059"/>
      <c r="D106" s="1079"/>
      <c r="E106" s="1058" t="str">
        <f t="shared" si="2"/>
        <v/>
      </c>
      <c r="F106" s="1059"/>
      <c r="G106" s="1061"/>
      <c r="H106" s="1072"/>
      <c r="I106" s="1062"/>
      <c r="M106" s="1063"/>
      <c r="N106" s="553">
        <f>IFERROR(VLOOKUP(G106,Ch6_Storage,2, FALSE),0)</f>
        <v>0</v>
      </c>
    </row>
    <row r="107" ht="18.75" customHeight="1">
      <c r="A107" s="1005">
        <f>IFERROR(VLOOKUP(H107,PartyStorage,2, FALSE),0)</f>
        <v>0</v>
      </c>
      <c r="B107" s="1077"/>
      <c r="C107" s="1052"/>
      <c r="D107" s="1069"/>
      <c r="E107" s="407" t="str">
        <f t="shared" si="2"/>
        <v/>
      </c>
      <c r="F107" s="1052"/>
      <c r="G107" s="1065"/>
      <c r="H107" s="1053"/>
      <c r="I107" s="1054"/>
      <c r="M107" s="378"/>
      <c r="N107" s="553">
        <f>IFERROR(VLOOKUP(G107,Ch6_Storage,2, FALSE),0)</f>
        <v>0</v>
      </c>
    </row>
    <row r="108" ht="18.75" customHeight="1">
      <c r="A108" s="1005">
        <f>IFERROR(VLOOKUP(H108,PartyStorage,2, FALSE),0)</f>
        <v>0</v>
      </c>
      <c r="B108" s="1078"/>
      <c r="C108" s="1059"/>
      <c r="D108" s="1079"/>
      <c r="E108" s="1058" t="str">
        <f t="shared" si="2"/>
        <v/>
      </c>
      <c r="F108" s="1059"/>
      <c r="G108" s="1061"/>
      <c r="H108" s="1072"/>
      <c r="I108" s="1062"/>
      <c r="M108" s="1063"/>
      <c r="N108" s="553">
        <f>IFERROR(VLOOKUP(G108,Ch6_Storage,2, FALSE),0)</f>
        <v>0</v>
      </c>
    </row>
    <row r="109" ht="18.75" customHeight="1">
      <c r="A109" s="1005">
        <f>IFERROR(VLOOKUP(H109,PartyStorage,2, FALSE),0)</f>
        <v>0</v>
      </c>
      <c r="B109" s="1077"/>
      <c r="C109" s="1052"/>
      <c r="D109" s="1069"/>
      <c r="E109" s="407" t="str">
        <f t="shared" si="2"/>
        <v/>
      </c>
      <c r="F109" s="1052"/>
      <c r="G109" s="1065"/>
      <c r="H109" s="1053"/>
      <c r="I109" s="1054"/>
      <c r="M109" s="378"/>
      <c r="N109" s="553">
        <f>IFERROR(VLOOKUP(G109,Ch6_Storage,2, FALSE),0)</f>
        <v>0</v>
      </c>
    </row>
    <row r="110" ht="18.75" customHeight="1">
      <c r="A110" s="1005">
        <f>IFERROR(VLOOKUP(H110,PartyStorage,2, FALSE),0)</f>
        <v>0</v>
      </c>
      <c r="B110" s="1078"/>
      <c r="C110" s="1059"/>
      <c r="D110" s="1079"/>
      <c r="E110" s="1058" t="str">
        <f t="shared" si="2"/>
        <v/>
      </c>
      <c r="F110" s="1059"/>
      <c r="G110" s="1061"/>
      <c r="H110" s="1072"/>
      <c r="I110" s="1062"/>
      <c r="M110" s="1063"/>
      <c r="N110" s="553">
        <f>IFERROR(VLOOKUP(G110,Ch6_Storage,2, FALSE),0)</f>
        <v>0</v>
      </c>
    </row>
    <row r="111" ht="18.75" customHeight="1">
      <c r="A111" s="1005">
        <f>IFERROR(VLOOKUP(H111,PartyStorage,2, FALSE),0)</f>
        <v>0</v>
      </c>
      <c r="B111" s="1077"/>
      <c r="C111" s="1052"/>
      <c r="D111" s="1069"/>
      <c r="E111" s="407" t="str">
        <f t="shared" si="2"/>
        <v/>
      </c>
      <c r="F111" s="1052"/>
      <c r="G111" s="1065"/>
      <c r="H111" s="1053"/>
      <c r="I111" s="1054"/>
      <c r="M111" s="378"/>
      <c r="N111" s="553">
        <f>IFERROR(VLOOKUP(G111,Ch6_Storage,2, FALSE),0)</f>
        <v>0</v>
      </c>
    </row>
    <row r="112" ht="18.75" customHeight="1">
      <c r="A112" s="1005">
        <f>IFERROR(VLOOKUP(H112,PartyStorage,2, FALSE),0)</f>
        <v>0</v>
      </c>
      <c r="B112" s="1078"/>
      <c r="C112" s="1059"/>
      <c r="D112" s="1079"/>
      <c r="E112" s="1058" t="str">
        <f t="shared" si="2"/>
        <v/>
      </c>
      <c r="F112" s="1059"/>
      <c r="G112" s="1061"/>
      <c r="H112" s="1072"/>
      <c r="I112" s="1062"/>
      <c r="M112" s="1063"/>
      <c r="N112" s="553">
        <f>IFERROR(VLOOKUP(G112,Ch6_Storage,2, FALSE),0)</f>
        <v>0</v>
      </c>
    </row>
    <row r="113" ht="18.75" customHeight="1">
      <c r="A113" s="1005">
        <f>IFERROR(VLOOKUP(H113,PartyStorage,2, FALSE),0)</f>
        <v>0</v>
      </c>
      <c r="B113" s="1077"/>
      <c r="C113" s="1052"/>
      <c r="D113" s="1069"/>
      <c r="E113" s="407" t="str">
        <f t="shared" si="2"/>
        <v/>
      </c>
      <c r="F113" s="1052"/>
      <c r="G113" s="1065"/>
      <c r="H113" s="1053"/>
      <c r="I113" s="1054"/>
      <c r="M113" s="378"/>
      <c r="N113" s="553">
        <f>IFERROR(VLOOKUP(G113,Ch6_Storage,2, FALSE),0)</f>
        <v>0</v>
      </c>
    </row>
    <row r="114" ht="18.75" customHeight="1">
      <c r="A114" s="1005">
        <f>IFERROR(VLOOKUP(H114,PartyStorage,2, FALSE),0)</f>
        <v>0</v>
      </c>
      <c r="B114" s="1078"/>
      <c r="C114" s="1059"/>
      <c r="D114" s="1079"/>
      <c r="E114" s="1058" t="str">
        <f t="shared" si="2"/>
        <v/>
      </c>
      <c r="F114" s="1059"/>
      <c r="G114" s="1061"/>
      <c r="H114" s="1072"/>
      <c r="I114" s="1062"/>
      <c r="M114" s="1063"/>
      <c r="N114" s="553">
        <f>IFERROR(VLOOKUP(G114,Ch6_Storage,2, FALSE),0)</f>
        <v>0</v>
      </c>
    </row>
    <row r="115" ht="18.75" customHeight="1">
      <c r="A115" s="1005">
        <f>IFERROR(VLOOKUP(H115,PartyStorage,2, FALSE),0)</f>
        <v>0</v>
      </c>
      <c r="B115" s="1077"/>
      <c r="C115" s="1052"/>
      <c r="D115" s="1069"/>
      <c r="E115" s="407" t="str">
        <f t="shared" si="2"/>
        <v/>
      </c>
      <c r="F115" s="1052"/>
      <c r="G115" s="1065"/>
      <c r="H115" s="1053"/>
      <c r="I115" s="1054"/>
      <c r="M115" s="378"/>
      <c r="N115" s="553">
        <f>IFERROR(VLOOKUP(G115,Ch6_Storage,2, FALSE),0)</f>
        <v>0</v>
      </c>
    </row>
    <row r="116" ht="18.75" customHeight="1">
      <c r="A116" s="1005">
        <f>IFERROR(VLOOKUP(H116,PartyStorage,2, FALSE),0)</f>
        <v>0</v>
      </c>
      <c r="B116" s="1078"/>
      <c r="C116" s="1059"/>
      <c r="D116" s="1079"/>
      <c r="E116" s="1058" t="str">
        <f t="shared" si="2"/>
        <v/>
      </c>
      <c r="F116" s="1059"/>
      <c r="G116" s="1061"/>
      <c r="H116" s="1072"/>
      <c r="I116" s="1062"/>
      <c r="M116" s="1063"/>
      <c r="N116" s="553">
        <f>IFERROR(VLOOKUP(G116,Ch6_Storage,2, FALSE),0)</f>
        <v>0</v>
      </c>
    </row>
    <row r="117" ht="18.75" customHeight="1">
      <c r="A117" s="1005">
        <f>IFERROR(VLOOKUP(H117,PartyStorage,2, FALSE),0)</f>
        <v>0</v>
      </c>
      <c r="B117" s="1077"/>
      <c r="C117" s="1052"/>
      <c r="D117" s="1069"/>
      <c r="E117" s="407" t="str">
        <f t="shared" si="2"/>
        <v/>
      </c>
      <c r="F117" s="1052"/>
      <c r="G117" s="1065"/>
      <c r="H117" s="1053"/>
      <c r="I117" s="1054"/>
      <c r="M117" s="378"/>
      <c r="N117" s="553">
        <f>IFERROR(VLOOKUP(G117,Ch6_Storage,2, FALSE),0)</f>
        <v>0</v>
      </c>
    </row>
    <row r="118" ht="18.75" customHeight="1">
      <c r="A118" s="1005">
        <f>IFERROR(VLOOKUP(H118,PartyStorage,2, FALSE),0)</f>
        <v>0</v>
      </c>
      <c r="B118" s="1078"/>
      <c r="C118" s="1059"/>
      <c r="D118" s="1079"/>
      <c r="E118" s="1058" t="str">
        <f t="shared" si="2"/>
        <v/>
      </c>
      <c r="F118" s="1059"/>
      <c r="G118" s="1061"/>
      <c r="H118" s="1072"/>
      <c r="I118" s="1062"/>
      <c r="M118" s="1063"/>
      <c r="N118" s="553">
        <f>IFERROR(VLOOKUP(G118,Ch6_Storage,2, FALSE),0)</f>
        <v>0</v>
      </c>
    </row>
    <row r="119" ht="18.75" customHeight="1">
      <c r="A119" s="1005">
        <f>IFERROR(VLOOKUP(H119,PartyStorage,2, FALSE),0)</f>
        <v>0</v>
      </c>
      <c r="B119" s="1077"/>
      <c r="C119" s="1052"/>
      <c r="D119" s="1069"/>
      <c r="E119" s="407" t="str">
        <f t="shared" si="2"/>
        <v/>
      </c>
      <c r="F119" s="1052"/>
      <c r="G119" s="1065"/>
      <c r="H119" s="1053"/>
      <c r="I119" s="1054"/>
      <c r="M119" s="378"/>
      <c r="N119" s="553">
        <f>IFERROR(VLOOKUP(G119,Ch6_Storage,2, FALSE),0)</f>
        <v>0</v>
      </c>
    </row>
    <row r="120" ht="18.75" customHeight="1">
      <c r="A120" s="1005">
        <f>IFERROR(VLOOKUP(H120,PartyStorage,2, FALSE),0)</f>
        <v>0</v>
      </c>
      <c r="B120" s="1078"/>
      <c r="C120" s="1059"/>
      <c r="D120" s="1079"/>
      <c r="E120" s="1058" t="str">
        <f t="shared" si="2"/>
        <v/>
      </c>
      <c r="F120" s="1059"/>
      <c r="G120" s="1061"/>
      <c r="H120" s="1072"/>
      <c r="I120" s="1062"/>
      <c r="M120" s="1063"/>
      <c r="N120" s="553">
        <f>IFERROR(VLOOKUP(G120,Ch6_Storage,2, FALSE),0)</f>
        <v>0</v>
      </c>
    </row>
    <row r="121" ht="18.75" customHeight="1">
      <c r="A121" s="1005">
        <f>IFERROR(VLOOKUP(H121,PartyStorage,2, FALSE),0)</f>
        <v>0</v>
      </c>
      <c r="B121" s="1077"/>
      <c r="C121" s="1052"/>
      <c r="D121" s="1069"/>
      <c r="E121" s="407" t="str">
        <f t="shared" si="2"/>
        <v/>
      </c>
      <c r="F121" s="1052"/>
      <c r="G121" s="1065"/>
      <c r="H121" s="1053"/>
      <c r="I121" s="1054"/>
      <c r="M121" s="378"/>
      <c r="N121" s="553">
        <f>IFERROR(VLOOKUP(G121,Ch6_Storage,2, FALSE),0)</f>
        <v>0</v>
      </c>
    </row>
    <row r="122" ht="18.75" customHeight="1">
      <c r="A122" s="1005">
        <f>IFERROR(VLOOKUP(H122,PartyStorage,2, FALSE),0)</f>
        <v>0</v>
      </c>
      <c r="B122" s="1078"/>
      <c r="C122" s="1059"/>
      <c r="D122" s="1079"/>
      <c r="E122" s="1058" t="str">
        <f t="shared" si="2"/>
        <v/>
      </c>
      <c r="F122" s="1059"/>
      <c r="G122" s="1061"/>
      <c r="H122" s="1072"/>
      <c r="I122" s="1062"/>
      <c r="M122" s="1063"/>
      <c r="N122" s="553">
        <f>IFERROR(VLOOKUP(G122,Ch6_Storage,2, FALSE),0)</f>
        <v>0</v>
      </c>
    </row>
    <row r="123" ht="18.75" customHeight="1">
      <c r="A123" s="1005">
        <f>IFERROR(VLOOKUP(H123,PartyStorage,2, FALSE),0)</f>
        <v>0</v>
      </c>
      <c r="B123" s="1077"/>
      <c r="C123" s="1052"/>
      <c r="D123" s="1069"/>
      <c r="E123" s="407" t="str">
        <f t="shared" si="2"/>
        <v/>
      </c>
      <c r="F123" s="1052"/>
      <c r="G123" s="1065"/>
      <c r="H123" s="1053"/>
      <c r="I123" s="1054"/>
      <c r="M123" s="378"/>
      <c r="N123" s="553">
        <f>IFERROR(VLOOKUP(G123,Ch6_Storage,2, FALSE),0)</f>
        <v>0</v>
      </c>
    </row>
    <row r="124" ht="18.75" customHeight="1">
      <c r="A124" s="1005">
        <f>IFERROR(VLOOKUP(H124,PartyStorage,2, FALSE),0)</f>
        <v>0</v>
      </c>
      <c r="B124" s="1078"/>
      <c r="C124" s="1059"/>
      <c r="D124" s="1079"/>
      <c r="E124" s="1058" t="str">
        <f t="shared" si="2"/>
        <v/>
      </c>
      <c r="F124" s="1059"/>
      <c r="G124" s="1061"/>
      <c r="H124" s="1072"/>
      <c r="I124" s="1062"/>
      <c r="M124" s="1063"/>
      <c r="N124" s="553">
        <f>IFERROR(VLOOKUP(G124,Ch6_Storage,2, FALSE),0)</f>
        <v>0</v>
      </c>
    </row>
    <row r="125" ht="18.75" customHeight="1">
      <c r="A125" s="1005">
        <f>IFERROR(VLOOKUP(H125,PartyStorage,2, FALSE),0)</f>
        <v>0</v>
      </c>
      <c r="B125" s="1077"/>
      <c r="C125" s="1052"/>
      <c r="D125" s="1069"/>
      <c r="E125" s="407" t="str">
        <f t="shared" si="2"/>
        <v/>
      </c>
      <c r="F125" s="1052"/>
      <c r="G125" s="1065"/>
      <c r="H125" s="1053"/>
      <c r="I125" s="1054"/>
      <c r="M125" s="378"/>
      <c r="N125" s="553">
        <f>IFERROR(VLOOKUP(G125,Ch6_Storage,2, FALSE),0)</f>
        <v>0</v>
      </c>
    </row>
    <row r="126" ht="18.75" customHeight="1">
      <c r="A126" s="1005">
        <f>IFERROR(VLOOKUP(H126,PartyStorage,2, FALSE),0)</f>
        <v>0</v>
      </c>
      <c r="B126" s="1078"/>
      <c r="C126" s="1059"/>
      <c r="D126" s="1079"/>
      <c r="E126" s="1058" t="str">
        <f t="shared" si="2"/>
        <v/>
      </c>
      <c r="F126" s="1059"/>
      <c r="G126" s="1061"/>
      <c r="H126" s="1072"/>
      <c r="I126" s="1062"/>
      <c r="M126" s="1063"/>
      <c r="N126" s="553">
        <f>IFERROR(VLOOKUP(G126,Ch6_Storage,2, FALSE),0)</f>
        <v>0</v>
      </c>
    </row>
    <row r="127" ht="18.75" customHeight="1">
      <c r="A127" s="1005">
        <f>IFERROR(VLOOKUP(H127,PartyStorage,2, FALSE),0)</f>
        <v>0</v>
      </c>
      <c r="B127" s="1077"/>
      <c r="C127" s="1052"/>
      <c r="D127" s="1069"/>
      <c r="E127" s="407" t="str">
        <f t="shared" si="2"/>
        <v/>
      </c>
      <c r="F127" s="1052"/>
      <c r="G127" s="1065"/>
      <c r="H127" s="1053"/>
      <c r="I127" s="1054"/>
      <c r="M127" s="378"/>
      <c r="N127" s="553">
        <f>IFERROR(VLOOKUP(G127,Ch6_Storage,2, FALSE),0)</f>
        <v>0</v>
      </c>
    </row>
    <row r="128" ht="18.75" customHeight="1">
      <c r="A128" s="1005">
        <f>IFERROR(VLOOKUP(H128,PartyStorage,2, FALSE),0)</f>
        <v>0</v>
      </c>
      <c r="B128" s="1078"/>
      <c r="C128" s="1059"/>
      <c r="D128" s="1079"/>
      <c r="E128" s="1058" t="str">
        <f t="shared" si="2"/>
        <v/>
      </c>
      <c r="F128" s="1059"/>
      <c r="G128" s="1061"/>
      <c r="H128" s="1072"/>
      <c r="I128" s="1062"/>
      <c r="M128" s="1063"/>
      <c r="N128" s="553">
        <f>IFERROR(VLOOKUP(G128,Ch6_Storage,2, FALSE),0)</f>
        <v>0</v>
      </c>
    </row>
    <row r="129" ht="18.75" customHeight="1">
      <c r="A129" s="1005">
        <f>IFERROR(VLOOKUP(H129,PartyStorage,2, FALSE),0)</f>
        <v>0</v>
      </c>
      <c r="B129" s="1077"/>
      <c r="C129" s="1052"/>
      <c r="D129" s="1069"/>
      <c r="E129" s="407" t="str">
        <f t="shared" si="2"/>
        <v/>
      </c>
      <c r="F129" s="1052"/>
      <c r="G129" s="1065"/>
      <c r="H129" s="1053"/>
      <c r="I129" s="1054"/>
      <c r="M129" s="378"/>
      <c r="N129" s="553">
        <f>IFERROR(VLOOKUP(G129,Ch6_Storage,2, FALSE),0)</f>
        <v>0</v>
      </c>
    </row>
    <row r="130" ht="18.75" customHeight="1">
      <c r="A130" s="1005">
        <f>IFERROR(VLOOKUP(H130,PartyStorage,2, FALSE),0)</f>
        <v>0</v>
      </c>
      <c r="B130" s="1078"/>
      <c r="C130" s="1059"/>
      <c r="D130" s="1079"/>
      <c r="E130" s="1058" t="str">
        <f t="shared" si="2"/>
        <v/>
      </c>
      <c r="F130" s="1059"/>
      <c r="G130" s="1061"/>
      <c r="H130" s="1072"/>
      <c r="I130" s="1062"/>
      <c r="M130" s="1063"/>
      <c r="N130" s="553">
        <f>IFERROR(VLOOKUP(G130,Ch6_Storage,2, FALSE),0)</f>
        <v>0</v>
      </c>
    </row>
    <row r="131" ht="18.75" customHeight="1">
      <c r="A131" s="1005">
        <f>IFERROR(VLOOKUP(H131,PartyStorage,2, FALSE),0)</f>
        <v>0</v>
      </c>
      <c r="B131" s="1077"/>
      <c r="C131" s="1052"/>
      <c r="D131" s="1069"/>
      <c r="E131" s="407" t="str">
        <f t="shared" si="2"/>
        <v/>
      </c>
      <c r="F131" s="1052"/>
      <c r="G131" s="1065"/>
      <c r="H131" s="1053"/>
      <c r="I131" s="1054"/>
      <c r="M131" s="378"/>
      <c r="N131" s="553">
        <f>IFERROR(VLOOKUP(G131,Ch6_Storage,2, FALSE),0)</f>
        <v>0</v>
      </c>
    </row>
    <row r="132" ht="18.75" customHeight="1">
      <c r="A132" s="1005">
        <f>IFERROR(VLOOKUP(H132,PartyStorage,2, FALSE),0)</f>
        <v>0</v>
      </c>
      <c r="B132" s="1078"/>
      <c r="C132" s="1059"/>
      <c r="D132" s="1079"/>
      <c r="E132" s="1058" t="str">
        <f t="shared" si="2"/>
        <v/>
      </c>
      <c r="F132" s="1059"/>
      <c r="G132" s="1061"/>
      <c r="H132" s="1072"/>
      <c r="I132" s="1062"/>
      <c r="M132" s="1063"/>
      <c r="N132" s="553">
        <f>IFERROR(VLOOKUP(G132,Ch6_Storage,2, FALSE),0)</f>
        <v>0</v>
      </c>
    </row>
    <row r="133" ht="18.75" customHeight="1">
      <c r="A133" s="1005">
        <f>IFERROR(VLOOKUP(H133,PartyStorage,2, FALSE),0)</f>
        <v>0</v>
      </c>
      <c r="B133" s="1077"/>
      <c r="C133" s="1052"/>
      <c r="D133" s="1069"/>
      <c r="E133" s="407" t="str">
        <f t="shared" si="2"/>
        <v/>
      </c>
      <c r="F133" s="1052"/>
      <c r="G133" s="1065"/>
      <c r="H133" s="1053"/>
      <c r="I133" s="1054"/>
      <c r="M133" s="378"/>
      <c r="N133" s="553">
        <f>IFERROR(VLOOKUP(G133,Ch6_Storage,2, FALSE),0)</f>
        <v>0</v>
      </c>
    </row>
    <row r="134" ht="18.75" customHeight="1">
      <c r="A134" s="1005">
        <f>IFERROR(VLOOKUP(H134,PartyStorage,2, FALSE),0)</f>
        <v>0</v>
      </c>
      <c r="B134" s="1078"/>
      <c r="C134" s="1059"/>
      <c r="D134" s="1079"/>
      <c r="E134" s="1058" t="str">
        <f t="shared" si="2"/>
        <v/>
      </c>
      <c r="F134" s="1059"/>
      <c r="G134" s="1061"/>
      <c r="H134" s="1072"/>
      <c r="I134" s="1062"/>
      <c r="M134" s="1063"/>
      <c r="N134" s="553">
        <f>IFERROR(VLOOKUP(G134,Ch6_Storage,2, FALSE),0)</f>
        <v>0</v>
      </c>
    </row>
    <row r="135" ht="18.75" customHeight="1">
      <c r="A135" s="1005">
        <f>IFERROR(VLOOKUP(H135,PartyStorage,2, FALSE),0)</f>
        <v>0</v>
      </c>
      <c r="B135" s="1077"/>
      <c r="C135" s="1052"/>
      <c r="D135" s="1069"/>
      <c r="E135" s="407" t="str">
        <f t="shared" si="2"/>
        <v/>
      </c>
      <c r="F135" s="1052"/>
      <c r="G135" s="1065"/>
      <c r="H135" s="1053"/>
      <c r="I135" s="1054"/>
      <c r="M135" s="378"/>
      <c r="N135" s="553">
        <f>IFERROR(VLOOKUP(G135,Ch6_Storage,2, FALSE),0)</f>
        <v>0</v>
      </c>
    </row>
    <row r="136" ht="18.75" customHeight="1">
      <c r="A136" s="1005">
        <f>IFERROR(VLOOKUP(H136,PartyStorage,2, FALSE),0)</f>
        <v>0</v>
      </c>
      <c r="B136" s="1078"/>
      <c r="C136" s="1059"/>
      <c r="D136" s="1079"/>
      <c r="E136" s="1058" t="str">
        <f t="shared" si="2"/>
        <v/>
      </c>
      <c r="F136" s="1059"/>
      <c r="G136" s="1061"/>
      <c r="H136" s="1072"/>
      <c r="I136" s="1062"/>
      <c r="M136" s="1063"/>
      <c r="N136" s="553">
        <f>IFERROR(VLOOKUP(G136,Ch6_Storage,2, FALSE),0)</f>
        <v>0</v>
      </c>
    </row>
    <row r="137" ht="18.75" customHeight="1">
      <c r="A137" s="1005">
        <f>IFERROR(VLOOKUP(H137,PartyStorage,2, FALSE),0)</f>
        <v>0</v>
      </c>
      <c r="B137" s="1077"/>
      <c r="C137" s="1052"/>
      <c r="D137" s="1069"/>
      <c r="E137" s="407" t="str">
        <f t="shared" si="2"/>
        <v/>
      </c>
      <c r="F137" s="1052"/>
      <c r="G137" s="1065"/>
      <c r="H137" s="1053"/>
      <c r="I137" s="1054"/>
      <c r="M137" s="378"/>
      <c r="N137" s="553">
        <f>IFERROR(VLOOKUP(G137,Ch6_Storage,2, FALSE),0)</f>
        <v>0</v>
      </c>
    </row>
    <row r="138" ht="18.75" customHeight="1">
      <c r="A138" s="1005">
        <f>IFERROR(VLOOKUP(H138,PartyStorage,2, FALSE),0)</f>
        <v>0</v>
      </c>
      <c r="B138" s="1078"/>
      <c r="C138" s="1059"/>
      <c r="D138" s="1079"/>
      <c r="E138" s="1058" t="str">
        <f t="shared" si="2"/>
        <v/>
      </c>
      <c r="F138" s="1059"/>
      <c r="G138" s="1061"/>
      <c r="H138" s="1072"/>
      <c r="I138" s="1062"/>
      <c r="M138" s="1063"/>
      <c r="N138" s="553">
        <f>IFERROR(VLOOKUP(G138,Ch6_Storage,2, FALSE),0)</f>
        <v>0</v>
      </c>
    </row>
    <row r="139" ht="18.75" customHeight="1">
      <c r="A139" s="1005">
        <f>IFERROR(VLOOKUP(H139,PartyStorage,2, FALSE),0)</f>
        <v>0</v>
      </c>
      <c r="B139" s="1077"/>
      <c r="C139" s="1052"/>
      <c r="D139" s="1069"/>
      <c r="E139" s="407" t="str">
        <f t="shared" si="2"/>
        <v/>
      </c>
      <c r="F139" s="1052"/>
      <c r="G139" s="1065"/>
      <c r="H139" s="1053"/>
      <c r="I139" s="1054"/>
      <c r="M139" s="378"/>
      <c r="N139" s="553">
        <f>IFERROR(VLOOKUP(G139,Ch6_Storage,2, FALSE),0)</f>
        <v>0</v>
      </c>
    </row>
    <row r="140" ht="18.75" customHeight="1">
      <c r="A140" s="1005">
        <f>IFERROR(VLOOKUP(H140,PartyStorage,2, FALSE),0)</f>
        <v>0</v>
      </c>
      <c r="B140" s="1078"/>
      <c r="C140" s="1059"/>
      <c r="D140" s="1079"/>
      <c r="E140" s="1058" t="str">
        <f t="shared" si="2"/>
        <v/>
      </c>
      <c r="F140" s="1059"/>
      <c r="G140" s="1061"/>
      <c r="H140" s="1072"/>
      <c r="I140" s="1062"/>
      <c r="M140" s="1063"/>
      <c r="N140" s="553">
        <f>IFERROR(VLOOKUP(G140,Ch6_Storage,2, FALSE),0)</f>
        <v>0</v>
      </c>
    </row>
    <row r="141" ht="18.75" customHeight="1">
      <c r="A141" s="1005">
        <f>IFERROR(VLOOKUP(H141,PartyStorage,2, FALSE),0)</f>
        <v>0</v>
      </c>
      <c r="B141" s="1077"/>
      <c r="C141" s="1052"/>
      <c r="D141" s="1069"/>
      <c r="E141" s="407" t="str">
        <f t="shared" si="2"/>
        <v/>
      </c>
      <c r="F141" s="1052"/>
      <c r="G141" s="1065"/>
      <c r="H141" s="1053"/>
      <c r="I141" s="1054"/>
      <c r="M141" s="378"/>
      <c r="N141" s="553">
        <f>IFERROR(VLOOKUP(G141,Ch6_Storage,2, FALSE),0)</f>
        <v>0</v>
      </c>
    </row>
    <row r="142" ht="18.75" customHeight="1">
      <c r="A142" s="1005">
        <f>IFERROR(VLOOKUP(H142,PartyStorage,2, FALSE),0)</f>
        <v>0</v>
      </c>
      <c r="B142" s="1078"/>
      <c r="C142" s="1059"/>
      <c r="D142" s="1079"/>
      <c r="E142" s="1058" t="str">
        <f t="shared" si="2"/>
        <v/>
      </c>
      <c r="F142" s="1059"/>
      <c r="G142" s="1061"/>
      <c r="H142" s="1072"/>
      <c r="I142" s="1062"/>
      <c r="M142" s="1063"/>
      <c r="N142" s="553">
        <f>IFERROR(VLOOKUP(G142,Ch6_Storage,2, FALSE),0)</f>
        <v>0</v>
      </c>
    </row>
    <row r="143" ht="18.75" customHeight="1">
      <c r="A143" s="1005">
        <f>IFERROR(VLOOKUP(H143,PartyStorage,2, FALSE),0)</f>
        <v>0</v>
      </c>
      <c r="B143" s="1077"/>
      <c r="C143" s="1052"/>
      <c r="D143" s="1069"/>
      <c r="E143" s="407" t="str">
        <f t="shared" si="2"/>
        <v/>
      </c>
      <c r="F143" s="1052"/>
      <c r="G143" s="1065"/>
      <c r="H143" s="1053"/>
      <c r="I143" s="1054"/>
      <c r="M143" s="378"/>
      <c r="N143" s="553">
        <f>IFERROR(VLOOKUP(G143,Ch6_Storage,2, FALSE),0)</f>
        <v>0</v>
      </c>
    </row>
    <row r="144" ht="18.75" customHeight="1">
      <c r="A144" s="1005">
        <f>IFERROR(VLOOKUP(H144,PartyStorage,2, FALSE),0)</f>
        <v>0</v>
      </c>
      <c r="B144" s="1078"/>
      <c r="C144" s="1059"/>
      <c r="D144" s="1079"/>
      <c r="E144" s="1058" t="str">
        <f t="shared" si="2"/>
        <v/>
      </c>
      <c r="F144" s="1059"/>
      <c r="G144" s="1061"/>
      <c r="H144" s="1072"/>
      <c r="I144" s="1062"/>
      <c r="M144" s="1063"/>
      <c r="N144" s="553">
        <f>IFERROR(VLOOKUP(G144,Ch6_Storage,2, FALSE),0)</f>
        <v>0</v>
      </c>
    </row>
    <row r="145" ht="18.75" customHeight="1">
      <c r="A145" s="1005">
        <f>IFERROR(VLOOKUP(H145,PartyStorage,2, FALSE),0)</f>
        <v>0</v>
      </c>
      <c r="B145" s="1077"/>
      <c r="C145" s="1052"/>
      <c r="D145" s="1069"/>
      <c r="E145" s="407" t="str">
        <f t="shared" si="2"/>
        <v/>
      </c>
      <c r="F145" s="1052"/>
      <c r="G145" s="1065"/>
      <c r="H145" s="1053"/>
      <c r="I145" s="1054"/>
      <c r="M145" s="378"/>
      <c r="N145" s="553">
        <f>IFERROR(VLOOKUP(G145,Ch6_Storage,2, FALSE),0)</f>
        <v>0</v>
      </c>
    </row>
    <row r="146" ht="18.75" customHeight="1">
      <c r="A146" s="1005">
        <f>IFERROR(VLOOKUP(H146,PartyStorage,2, FALSE),0)</f>
        <v>0</v>
      </c>
      <c r="B146" s="1078"/>
      <c r="C146" s="1059"/>
      <c r="D146" s="1079"/>
      <c r="E146" s="1058" t="str">
        <f t="shared" si="2"/>
        <v/>
      </c>
      <c r="F146" s="1059"/>
      <c r="G146" s="1061"/>
      <c r="H146" s="1072"/>
      <c r="I146" s="1062"/>
      <c r="M146" s="1063"/>
      <c r="N146" s="553">
        <f>IFERROR(VLOOKUP(G146,Ch6_Storage,2, FALSE),0)</f>
        <v>0</v>
      </c>
    </row>
    <row r="147" ht="18.75" customHeight="1">
      <c r="A147" s="1005">
        <f>IFERROR(VLOOKUP(H147,PartyStorage,2, FALSE),0)</f>
        <v>0</v>
      </c>
      <c r="B147" s="1077"/>
      <c r="C147" s="1052"/>
      <c r="D147" s="1069"/>
      <c r="E147" s="407" t="str">
        <f t="shared" si="2"/>
        <v/>
      </c>
      <c r="F147" s="1052"/>
      <c r="G147" s="1065"/>
      <c r="H147" s="1053"/>
      <c r="I147" s="1054"/>
      <c r="M147" s="378"/>
      <c r="N147" s="553">
        <f>IFERROR(VLOOKUP(G147,Ch6_Storage,2, FALSE),0)</f>
        <v>0</v>
      </c>
    </row>
    <row r="148" ht="18.75" customHeight="1">
      <c r="A148" s="1005">
        <f>IFERROR(VLOOKUP(H148,PartyStorage,2, FALSE),0)</f>
        <v>0</v>
      </c>
      <c r="B148" s="1078"/>
      <c r="C148" s="1059"/>
      <c r="D148" s="1079"/>
      <c r="E148" s="1058" t="str">
        <f t="shared" si="2"/>
        <v/>
      </c>
      <c r="F148" s="1059"/>
      <c r="G148" s="1061"/>
      <c r="H148" s="1072"/>
      <c r="I148" s="1062"/>
      <c r="M148" s="1063"/>
      <c r="N148" s="553">
        <f>IFERROR(VLOOKUP(G148,Ch6_Storage,2, FALSE),0)</f>
        <v>0</v>
      </c>
    </row>
    <row r="149" ht="18.75" customHeight="1">
      <c r="A149" s="1005">
        <f>IFERROR(VLOOKUP(H149,PartyStorage,2, FALSE),0)</f>
        <v>0</v>
      </c>
      <c r="B149" s="1077"/>
      <c r="C149" s="1052"/>
      <c r="D149" s="1069"/>
      <c r="E149" s="407" t="str">
        <f t="shared" si="2"/>
        <v/>
      </c>
      <c r="F149" s="1052"/>
      <c r="G149" s="1065"/>
      <c r="H149" s="1053"/>
      <c r="I149" s="1054"/>
      <c r="M149" s="378"/>
      <c r="N149" s="553">
        <f>IFERROR(VLOOKUP(G149,Ch6_Storage,2, FALSE),0)</f>
        <v>0</v>
      </c>
    </row>
    <row r="150" ht="18.75" customHeight="1">
      <c r="A150" s="1005">
        <f>IFERROR(VLOOKUP(H150,PartyStorage,2, FALSE),0)</f>
        <v>0</v>
      </c>
      <c r="B150" s="1078"/>
      <c r="C150" s="1059"/>
      <c r="D150" s="1079"/>
      <c r="E150" s="1058" t="str">
        <f t="shared" si="2"/>
        <v/>
      </c>
      <c r="F150" s="1059"/>
      <c r="G150" s="1061"/>
      <c r="H150" s="1072"/>
      <c r="I150" s="1062"/>
      <c r="M150" s="1063"/>
      <c r="N150" s="553">
        <f>IFERROR(VLOOKUP(G150,Ch6_Storage,2, FALSE),0)</f>
        <v>0</v>
      </c>
    </row>
    <row r="151" ht="18.75" customHeight="1">
      <c r="A151" s="1005">
        <f>IFERROR(VLOOKUP(H151,PartyStorage,2, FALSE),0)</f>
        <v>0</v>
      </c>
      <c r="B151" s="1077"/>
      <c r="C151" s="1052"/>
      <c r="D151" s="1069"/>
      <c r="E151" s="407" t="str">
        <f t="shared" si="2"/>
        <v/>
      </c>
      <c r="F151" s="1052"/>
      <c r="G151" s="1065"/>
      <c r="H151" s="1053"/>
      <c r="I151" s="1054"/>
      <c r="M151" s="378"/>
      <c r="N151" s="553">
        <f>IFERROR(VLOOKUP(G151,Ch6_Storage,2, FALSE),0)</f>
        <v>0</v>
      </c>
    </row>
    <row r="152" ht="18.75" customHeight="1">
      <c r="A152" s="1005">
        <f>IFERROR(VLOOKUP(H152,PartyStorage,2, FALSE),0)</f>
        <v>0</v>
      </c>
      <c r="B152" s="1078"/>
      <c r="C152" s="1059"/>
      <c r="D152" s="1079"/>
      <c r="E152" s="1058" t="str">
        <f t="shared" si="2"/>
        <v/>
      </c>
      <c r="F152" s="1059"/>
      <c r="G152" s="1061"/>
      <c r="H152" s="1072"/>
      <c r="I152" s="1062"/>
      <c r="M152" s="1063"/>
      <c r="N152" s="553">
        <f>IFERROR(VLOOKUP(G152,Ch6_Storage,2, FALSE),0)</f>
        <v>0</v>
      </c>
    </row>
    <row r="153" ht="18.75" customHeight="1">
      <c r="A153" s="1005">
        <f>IFERROR(VLOOKUP(H153,PartyStorage,2, FALSE),0)</f>
        <v>0</v>
      </c>
      <c r="B153" s="1077"/>
      <c r="C153" s="1052"/>
      <c r="D153" s="1069"/>
      <c r="E153" s="407" t="str">
        <f t="shared" si="2"/>
        <v/>
      </c>
      <c r="F153" s="1052"/>
      <c r="G153" s="1065"/>
      <c r="H153" s="1053"/>
      <c r="I153" s="1054"/>
      <c r="M153" s="378"/>
      <c r="N153" s="553">
        <f>IFERROR(VLOOKUP(G153,Ch6_Storage,2, FALSE),0)</f>
        <v>0</v>
      </c>
    </row>
    <row r="154" ht="18.75" customHeight="1">
      <c r="A154" s="1005">
        <f>IFERROR(VLOOKUP(H154,PartyStorage,2, FALSE),0)</f>
        <v>0</v>
      </c>
      <c r="B154" s="1078"/>
      <c r="C154" s="1059"/>
      <c r="D154" s="1079"/>
      <c r="E154" s="1058" t="str">
        <f t="shared" si="2"/>
        <v/>
      </c>
      <c r="F154" s="1059"/>
      <c r="G154" s="1061"/>
      <c r="H154" s="1072"/>
      <c r="I154" s="1062"/>
      <c r="M154" s="1063"/>
      <c r="N154" s="553">
        <f>IFERROR(VLOOKUP(G154,Ch6_Storage,2, FALSE),0)</f>
        <v>0</v>
      </c>
    </row>
    <row r="155" ht="18.75" customHeight="1">
      <c r="A155" s="1005">
        <f>IFERROR(VLOOKUP(H155,PartyStorage,2, FALSE),0)</f>
        <v>0</v>
      </c>
      <c r="B155" s="1077"/>
      <c r="C155" s="1052"/>
      <c r="D155" s="1069"/>
      <c r="E155" s="407" t="str">
        <f t="shared" si="2"/>
        <v/>
      </c>
      <c r="F155" s="1052"/>
      <c r="G155" s="1065"/>
      <c r="H155" s="1053"/>
      <c r="I155" s="1054"/>
      <c r="M155" s="378"/>
      <c r="N155" s="553">
        <f>IFERROR(VLOOKUP(G155,Ch6_Storage,2, FALSE),0)</f>
        <v>0</v>
      </c>
    </row>
    <row r="156" ht="18.75" customHeight="1">
      <c r="A156" s="1005">
        <f>IFERROR(VLOOKUP(H156,PartyStorage,2, FALSE),0)</f>
        <v>0</v>
      </c>
      <c r="B156" s="1078"/>
      <c r="C156" s="1059"/>
      <c r="D156" s="1079"/>
      <c r="E156" s="1058" t="str">
        <f t="shared" si="2"/>
        <v/>
      </c>
      <c r="F156" s="1059"/>
      <c r="G156" s="1061"/>
      <c r="H156" s="1072"/>
      <c r="I156" s="1062"/>
      <c r="M156" s="1063"/>
      <c r="N156" s="553">
        <f>IFERROR(VLOOKUP(G156,Ch6_Storage,2, FALSE),0)</f>
        <v>0</v>
      </c>
    </row>
    <row r="157" ht="18.75" customHeight="1">
      <c r="A157" s="1005">
        <f>IFERROR(VLOOKUP(H157,PartyStorage,2, FALSE),0)</f>
        <v>0</v>
      </c>
      <c r="B157" s="1077"/>
      <c r="C157" s="1052"/>
      <c r="D157" s="1069"/>
      <c r="E157" s="407" t="str">
        <f t="shared" si="2"/>
        <v/>
      </c>
      <c r="F157" s="1052"/>
      <c r="G157" s="1065"/>
      <c r="H157" s="1053"/>
      <c r="I157" s="1054"/>
      <c r="M157" s="378"/>
      <c r="N157" s="553">
        <f>IFERROR(VLOOKUP(G157,Ch6_Storage,2, FALSE),0)</f>
        <v>0</v>
      </c>
    </row>
    <row r="158" ht="18.75" customHeight="1">
      <c r="A158" s="1005">
        <f>IFERROR(VLOOKUP(H158,PartyStorage,2, FALSE),0)</f>
        <v>0</v>
      </c>
      <c r="B158" s="1078"/>
      <c r="C158" s="1059"/>
      <c r="D158" s="1079"/>
      <c r="E158" s="1058" t="str">
        <f t="shared" si="2"/>
        <v/>
      </c>
      <c r="F158" s="1059"/>
      <c r="G158" s="1061"/>
      <c r="H158" s="1072"/>
      <c r="I158" s="1062"/>
      <c r="M158" s="1063"/>
      <c r="N158" s="553">
        <f>IFERROR(VLOOKUP(G158,Ch6_Storage,2, FALSE),0)</f>
        <v>0</v>
      </c>
    </row>
    <row r="159" ht="18.75" customHeight="1">
      <c r="A159" s="1005">
        <f>IFERROR(VLOOKUP(H159,PartyStorage,2, FALSE),0)</f>
        <v>0</v>
      </c>
      <c r="B159" s="1077"/>
      <c r="C159" s="1052"/>
      <c r="D159" s="1069"/>
      <c r="E159" s="407" t="str">
        <f t="shared" si="2"/>
        <v/>
      </c>
      <c r="F159" s="1052"/>
      <c r="G159" s="1065"/>
      <c r="H159" s="1053"/>
      <c r="I159" s="1054"/>
      <c r="M159" s="378"/>
      <c r="N159" s="553">
        <f>IFERROR(VLOOKUP(G159,Ch6_Storage,2, FALSE),0)</f>
        <v>0</v>
      </c>
    </row>
    <row r="160" ht="18.75" customHeight="1">
      <c r="A160" s="1005">
        <f>IFERROR(VLOOKUP(H160,PartyStorage,2, FALSE),0)</f>
        <v>0</v>
      </c>
      <c r="B160" s="1078"/>
      <c r="C160" s="1059"/>
      <c r="D160" s="1079"/>
      <c r="E160" s="1058" t="str">
        <f t="shared" si="2"/>
        <v/>
      </c>
      <c r="F160" s="1059"/>
      <c r="G160" s="1061"/>
      <c r="H160" s="1072"/>
      <c r="I160" s="1062"/>
      <c r="M160" s="1063"/>
      <c r="N160" s="553">
        <f>IFERROR(VLOOKUP(G160,Ch6_Storage,2, FALSE),0)</f>
        <v>0</v>
      </c>
    </row>
    <row r="161" ht="18.75" customHeight="1">
      <c r="A161" s="1005">
        <f>IFERROR(VLOOKUP(H161,PartyStorage,2, FALSE),0)</f>
        <v>0</v>
      </c>
      <c r="B161" s="1077"/>
      <c r="C161" s="1052"/>
      <c r="D161" s="1069"/>
      <c r="E161" s="407" t="str">
        <f t="shared" si="2"/>
        <v/>
      </c>
      <c r="F161" s="1052"/>
      <c r="G161" s="1065"/>
      <c r="H161" s="1053"/>
      <c r="I161" s="1054"/>
      <c r="M161" s="378"/>
      <c r="N161" s="553">
        <f>IFERROR(VLOOKUP(G161,Ch6_Storage,2, FALSE),0)</f>
        <v>0</v>
      </c>
    </row>
    <row r="162" ht="18.75" customHeight="1">
      <c r="A162" s="1005">
        <f>IFERROR(VLOOKUP(H162,PartyStorage,2, FALSE),0)</f>
        <v>0</v>
      </c>
      <c r="B162" s="1078"/>
      <c r="C162" s="1059"/>
      <c r="D162" s="1079"/>
      <c r="E162" s="1058" t="str">
        <f t="shared" si="2"/>
        <v/>
      </c>
      <c r="F162" s="1059"/>
      <c r="G162" s="1061"/>
      <c r="H162" s="1072"/>
      <c r="I162" s="1062"/>
      <c r="M162" s="1063"/>
      <c r="N162" s="553">
        <f>IFERROR(VLOOKUP(G162,Ch6_Storage,2, FALSE),0)</f>
        <v>0</v>
      </c>
    </row>
    <row r="163" ht="18.75" customHeight="1">
      <c r="A163" s="1005">
        <f>IFERROR(VLOOKUP(H163,PartyStorage,2, FALSE),0)</f>
        <v>0</v>
      </c>
      <c r="B163" s="1077"/>
      <c r="C163" s="1052"/>
      <c r="D163" s="1069"/>
      <c r="E163" s="407" t="str">
        <f t="shared" si="2"/>
        <v/>
      </c>
      <c r="F163" s="1052"/>
      <c r="G163" s="1065"/>
      <c r="H163" s="1053"/>
      <c r="I163" s="1054"/>
      <c r="M163" s="378"/>
      <c r="N163" s="553">
        <f>IFERROR(VLOOKUP(G163,Ch6_Storage,2, FALSE),0)</f>
        <v>0</v>
      </c>
    </row>
    <row r="164" ht="18.75" customHeight="1">
      <c r="A164" s="1005">
        <f>IFERROR(VLOOKUP(H164,PartyStorage,2, FALSE),0)</f>
        <v>0</v>
      </c>
      <c r="B164" s="1078"/>
      <c r="C164" s="1059"/>
      <c r="D164" s="1079"/>
      <c r="E164" s="1058" t="str">
        <f t="shared" si="2"/>
        <v/>
      </c>
      <c r="F164" s="1059"/>
      <c r="G164" s="1061"/>
      <c r="H164" s="1072"/>
      <c r="I164" s="1062"/>
      <c r="M164" s="1063"/>
      <c r="N164" s="553">
        <f>IFERROR(VLOOKUP(G164,Ch6_Storage,2, FALSE),0)</f>
        <v>0</v>
      </c>
    </row>
    <row r="165" ht="18.75" customHeight="1">
      <c r="A165" s="1005">
        <f>IFERROR(VLOOKUP(H165,PartyStorage,2, FALSE),0)</f>
        <v>0</v>
      </c>
      <c r="B165" s="1077"/>
      <c r="C165" s="1052"/>
      <c r="D165" s="1069"/>
      <c r="E165" s="407" t="str">
        <f t="shared" si="2"/>
        <v/>
      </c>
      <c r="F165" s="1052"/>
      <c r="G165" s="1065"/>
      <c r="H165" s="1053"/>
      <c r="I165" s="1054"/>
      <c r="M165" s="378"/>
      <c r="N165" s="553">
        <f>IFERROR(VLOOKUP(G165,Ch6_Storage,2, FALSE),0)</f>
        <v>0</v>
      </c>
    </row>
    <row r="166" ht="18.75" customHeight="1">
      <c r="A166" s="1005">
        <f>IFERROR(VLOOKUP(H166,PartyStorage,2, FALSE),0)</f>
        <v>0</v>
      </c>
      <c r="B166" s="1078"/>
      <c r="C166" s="1059"/>
      <c r="D166" s="1079"/>
      <c r="E166" s="1058" t="str">
        <f t="shared" si="2"/>
        <v/>
      </c>
      <c r="F166" s="1059"/>
      <c r="G166" s="1061"/>
      <c r="H166" s="1072"/>
      <c r="I166" s="1062"/>
      <c r="M166" s="1063"/>
      <c r="N166" s="553">
        <f>IFERROR(VLOOKUP(G166,Ch6_Storage,2, FALSE),0)</f>
        <v>0</v>
      </c>
    </row>
    <row r="167" ht="18.75" customHeight="1">
      <c r="A167" s="1005">
        <f>IFERROR(VLOOKUP(H167,PartyStorage,2, FALSE),0)</f>
        <v>0</v>
      </c>
      <c r="B167" s="1077"/>
      <c r="C167" s="1052"/>
      <c r="D167" s="1069"/>
      <c r="E167" s="407" t="str">
        <f t="shared" si="2"/>
        <v/>
      </c>
      <c r="F167" s="1052"/>
      <c r="G167" s="1065"/>
      <c r="H167" s="1053"/>
      <c r="I167" s="1054"/>
      <c r="M167" s="378"/>
      <c r="N167" s="553">
        <f>IFERROR(VLOOKUP(G167,Ch6_Storage,2, FALSE),0)</f>
        <v>0</v>
      </c>
    </row>
    <row r="168" ht="18.75" customHeight="1">
      <c r="A168" s="1005">
        <f>IFERROR(VLOOKUP(H168,PartyStorage,2, FALSE),0)</f>
        <v>0</v>
      </c>
      <c r="B168" s="1078"/>
      <c r="C168" s="1059"/>
      <c r="D168" s="1079"/>
      <c r="E168" s="1058" t="str">
        <f t="shared" si="2"/>
        <v/>
      </c>
      <c r="F168" s="1059"/>
      <c r="G168" s="1061"/>
      <c r="H168" s="1072"/>
      <c r="I168" s="1062"/>
      <c r="M168" s="1063"/>
      <c r="N168" s="553">
        <f>IFERROR(VLOOKUP(G168,Ch6_Storage,2, FALSE),0)</f>
        <v>0</v>
      </c>
    </row>
    <row r="169" ht="18.75" customHeight="1">
      <c r="A169" s="1005">
        <f>IFERROR(VLOOKUP(H169,PartyStorage,2, FALSE),0)</f>
        <v>0</v>
      </c>
      <c r="B169" s="1077"/>
      <c r="C169" s="1052"/>
      <c r="D169" s="1069"/>
      <c r="E169" s="407" t="str">
        <f t="shared" si="2"/>
        <v/>
      </c>
      <c r="F169" s="1052"/>
      <c r="G169" s="1065"/>
      <c r="H169" s="1053"/>
      <c r="I169" s="1054"/>
      <c r="M169" s="378"/>
      <c r="N169" s="553">
        <f>IFERROR(VLOOKUP(G169,Ch6_Storage,2, FALSE),0)</f>
        <v>0</v>
      </c>
    </row>
    <row r="170" ht="18.75" customHeight="1">
      <c r="A170" s="1005">
        <f>IFERROR(VLOOKUP(H170,PartyStorage,2, FALSE),0)</f>
        <v>0</v>
      </c>
      <c r="B170" s="1078"/>
      <c r="C170" s="1059"/>
      <c r="D170" s="1079"/>
      <c r="E170" s="1058" t="str">
        <f t="shared" si="2"/>
        <v/>
      </c>
      <c r="F170" s="1059"/>
      <c r="G170" s="1061"/>
      <c r="H170" s="1072"/>
      <c r="I170" s="1062"/>
      <c r="M170" s="1063"/>
      <c r="N170" s="553">
        <f>IFERROR(VLOOKUP(G170,Ch6_Storage,2, FALSE),0)</f>
        <v>0</v>
      </c>
    </row>
    <row r="171" ht="18.75" customHeight="1">
      <c r="A171" s="1005">
        <f>IFERROR(VLOOKUP(H171,PartyStorage,2, FALSE),0)</f>
        <v>0</v>
      </c>
      <c r="B171" s="1077"/>
      <c r="C171" s="1052"/>
      <c r="D171" s="1069"/>
      <c r="E171" s="407" t="str">
        <f t="shared" si="2"/>
        <v/>
      </c>
      <c r="F171" s="1052"/>
      <c r="G171" s="1065"/>
      <c r="H171" s="1053"/>
      <c r="I171" s="1054"/>
      <c r="M171" s="378"/>
      <c r="N171" s="553">
        <f>IFERROR(VLOOKUP(G171,Ch6_Storage,2, FALSE),0)</f>
        <v>0</v>
      </c>
    </row>
    <row r="172" ht="18.75" customHeight="1">
      <c r="A172" s="1005">
        <f>IFERROR(VLOOKUP(H172,PartyStorage,2, FALSE),0)</f>
        <v>0</v>
      </c>
      <c r="B172" s="1078"/>
      <c r="C172" s="1059"/>
      <c r="D172" s="1079"/>
      <c r="E172" s="1058" t="str">
        <f t="shared" si="2"/>
        <v/>
      </c>
      <c r="F172" s="1059"/>
      <c r="G172" s="1061"/>
      <c r="H172" s="1072"/>
      <c r="I172" s="1062"/>
      <c r="M172" s="1063"/>
      <c r="N172" s="553">
        <f>IFERROR(VLOOKUP(G172,Ch6_Storage,2, FALSE),0)</f>
        <v>0</v>
      </c>
    </row>
    <row r="173" ht="18.75" customHeight="1">
      <c r="A173" s="1005">
        <f>IFERROR(VLOOKUP(H173,PartyStorage,2, FALSE),0)</f>
        <v>0</v>
      </c>
      <c r="B173" s="1077"/>
      <c r="C173" s="1052"/>
      <c r="D173" s="1069"/>
      <c r="E173" s="407" t="str">
        <f t="shared" si="2"/>
        <v/>
      </c>
      <c r="F173" s="1052"/>
      <c r="G173" s="1065"/>
      <c r="H173" s="1053"/>
      <c r="I173" s="1054"/>
      <c r="M173" s="378"/>
      <c r="N173" s="553">
        <f>IFERROR(VLOOKUP(G173,Ch6_Storage,2, FALSE),0)</f>
        <v>0</v>
      </c>
    </row>
    <row r="174" ht="18.75" customHeight="1">
      <c r="A174" s="1005">
        <f>IFERROR(VLOOKUP(H174,PartyStorage,2, FALSE),0)</f>
        <v>0</v>
      </c>
      <c r="B174" s="1078"/>
      <c r="C174" s="1059"/>
      <c r="D174" s="1079"/>
      <c r="E174" s="1058" t="str">
        <f t="shared" si="2"/>
        <v/>
      </c>
      <c r="F174" s="1059"/>
      <c r="G174" s="1061"/>
      <c r="H174" s="1072"/>
      <c r="I174" s="1062"/>
      <c r="M174" s="1063"/>
      <c r="N174" s="553">
        <f>IFERROR(VLOOKUP(G174,Ch6_Storage,2, FALSE),0)</f>
        <v>0</v>
      </c>
    </row>
    <row r="175" ht="18.75" customHeight="1">
      <c r="A175" s="1005">
        <f>IFERROR(VLOOKUP(H175,PartyStorage,2, FALSE),0)</f>
        <v>0</v>
      </c>
      <c r="B175" s="1077"/>
      <c r="C175" s="1052"/>
      <c r="D175" s="1069"/>
      <c r="E175" s="407" t="str">
        <f t="shared" si="2"/>
        <v/>
      </c>
      <c r="F175" s="1052"/>
      <c r="G175" s="1065"/>
      <c r="H175" s="1053"/>
      <c r="I175" s="1054"/>
      <c r="M175" s="378"/>
      <c r="N175" s="553">
        <f>IFERROR(VLOOKUP(G175,Ch6_Storage,2, FALSE),0)</f>
        <v>0</v>
      </c>
    </row>
    <row r="176" ht="18.75" customHeight="1">
      <c r="A176" s="1005">
        <f>IFERROR(VLOOKUP(H176,PartyStorage,2, FALSE),0)</f>
        <v>0</v>
      </c>
      <c r="B176" s="1078"/>
      <c r="C176" s="1059"/>
      <c r="D176" s="1079"/>
      <c r="E176" s="1058" t="str">
        <f t="shared" si="2"/>
        <v/>
      </c>
      <c r="F176" s="1059"/>
      <c r="G176" s="1061"/>
      <c r="H176" s="1072"/>
      <c r="I176" s="1062"/>
      <c r="M176" s="1063"/>
      <c r="N176" s="553">
        <f>IFERROR(VLOOKUP(G176,Ch6_Storage,2, FALSE),0)</f>
        <v>0</v>
      </c>
    </row>
    <row r="177" ht="18.75" customHeight="1">
      <c r="A177" s="1005">
        <f>IFERROR(VLOOKUP(H177,PartyStorage,2, FALSE),0)</f>
        <v>0</v>
      </c>
      <c r="B177" s="1077"/>
      <c r="C177" s="1052"/>
      <c r="D177" s="1069"/>
      <c r="E177" s="407" t="str">
        <f t="shared" si="2"/>
        <v/>
      </c>
      <c r="F177" s="1052"/>
      <c r="G177" s="1065"/>
      <c r="H177" s="1053"/>
      <c r="I177" s="1054"/>
      <c r="M177" s="378"/>
      <c r="N177" s="553">
        <f>IFERROR(VLOOKUP(G177,Ch6_Storage,2, FALSE),0)</f>
        <v>0</v>
      </c>
    </row>
    <row r="178" ht="18.75" customHeight="1">
      <c r="A178" s="1005">
        <f>IFERROR(VLOOKUP(H178,PartyStorage,2, FALSE),0)</f>
        <v>0</v>
      </c>
      <c r="B178" s="1078"/>
      <c r="C178" s="1059"/>
      <c r="D178" s="1079"/>
      <c r="E178" s="1058" t="str">
        <f t="shared" si="2"/>
        <v/>
      </c>
      <c r="F178" s="1059"/>
      <c r="G178" s="1061"/>
      <c r="H178" s="1072"/>
      <c r="I178" s="1062"/>
      <c r="M178" s="1063"/>
      <c r="N178" s="553">
        <f>IFERROR(VLOOKUP(G178,Ch6_Storage,2, FALSE),0)</f>
        <v>0</v>
      </c>
    </row>
    <row r="179" ht="18.75" customHeight="1">
      <c r="A179" s="1005">
        <f>IFERROR(VLOOKUP(H179,PartyStorage,2, FALSE),0)</f>
        <v>0</v>
      </c>
      <c r="B179" s="1077"/>
      <c r="C179" s="1052"/>
      <c r="D179" s="1069"/>
      <c r="E179" s="407" t="str">
        <f t="shared" si="2"/>
        <v/>
      </c>
      <c r="F179" s="1052"/>
      <c r="G179" s="1065"/>
      <c r="H179" s="1053"/>
      <c r="I179" s="1054"/>
      <c r="M179" s="378"/>
      <c r="N179" s="553">
        <f>IFERROR(VLOOKUP(G179,Ch6_Storage,2, FALSE),0)</f>
        <v>0</v>
      </c>
    </row>
    <row r="180" ht="18.75" customHeight="1">
      <c r="A180" s="1005">
        <f>IFERROR(VLOOKUP(H180,PartyStorage,2, FALSE),0)</f>
        <v>0</v>
      </c>
      <c r="B180" s="1078"/>
      <c r="C180" s="1059"/>
      <c r="D180" s="1079"/>
      <c r="E180" s="1058" t="str">
        <f t="shared" si="2"/>
        <v/>
      </c>
      <c r="F180" s="1059"/>
      <c r="G180" s="1061"/>
      <c r="H180" s="1072"/>
      <c r="I180" s="1062"/>
      <c r="M180" s="1063"/>
      <c r="N180" s="553">
        <f>IFERROR(VLOOKUP(G180,Ch6_Storage,2, FALSE),0)</f>
        <v>0</v>
      </c>
    </row>
    <row r="181" ht="18.75" customHeight="1">
      <c r="A181" s="1005">
        <f>IFERROR(VLOOKUP(H181,PartyStorage,2, FALSE),0)</f>
        <v>0</v>
      </c>
      <c r="B181" s="1077"/>
      <c r="C181" s="1052"/>
      <c r="D181" s="1069"/>
      <c r="E181" s="407" t="str">
        <f t="shared" si="2"/>
        <v/>
      </c>
      <c r="F181" s="1052"/>
      <c r="G181" s="1065"/>
      <c r="H181" s="1053"/>
      <c r="I181" s="1054"/>
      <c r="M181" s="378"/>
      <c r="N181" s="553">
        <f>IFERROR(VLOOKUP(G181,Ch6_Storage,2, FALSE),0)</f>
        <v>0</v>
      </c>
    </row>
    <row r="182" ht="18.75" customHeight="1">
      <c r="A182" s="1005">
        <f>IFERROR(VLOOKUP(H182,PartyStorage,2, FALSE),0)</f>
        <v>0</v>
      </c>
      <c r="B182" s="1078"/>
      <c r="C182" s="1059"/>
      <c r="D182" s="1079"/>
      <c r="E182" s="1058" t="str">
        <f t="shared" si="2"/>
        <v/>
      </c>
      <c r="F182" s="1059"/>
      <c r="G182" s="1061"/>
      <c r="H182" s="1072"/>
      <c r="I182" s="1062"/>
      <c r="M182" s="1063"/>
      <c r="N182" s="553">
        <f>IFERROR(VLOOKUP(G182,Ch6_Storage,2, FALSE),0)</f>
        <v>0</v>
      </c>
    </row>
    <row r="183" ht="18.75" customHeight="1">
      <c r="A183" s="1005">
        <f>IFERROR(VLOOKUP(H183,PartyStorage,2, FALSE),0)</f>
        <v>0</v>
      </c>
      <c r="B183" s="1077"/>
      <c r="C183" s="1052"/>
      <c r="D183" s="1069"/>
      <c r="E183" s="407" t="str">
        <f t="shared" si="2"/>
        <v/>
      </c>
      <c r="F183" s="1052"/>
      <c r="G183" s="1065"/>
      <c r="H183" s="1053"/>
      <c r="I183" s="1054"/>
      <c r="M183" s="378"/>
      <c r="N183" s="553">
        <f>IFERROR(VLOOKUP(G183,Ch6_Storage,2, FALSE),0)</f>
        <v>0</v>
      </c>
    </row>
    <row r="184" ht="18.75" customHeight="1">
      <c r="A184" s="1005">
        <f>IFERROR(VLOOKUP(H184,PartyStorage,2, FALSE),0)</f>
        <v>0</v>
      </c>
      <c r="B184" s="1078"/>
      <c r="C184" s="1059"/>
      <c r="D184" s="1079"/>
      <c r="E184" s="1058" t="str">
        <f t="shared" si="2"/>
        <v/>
      </c>
      <c r="F184" s="1059"/>
      <c r="G184" s="1061"/>
      <c r="H184" s="1072"/>
      <c r="I184" s="1062"/>
      <c r="M184" s="1063"/>
      <c r="N184" s="553">
        <f>IFERROR(VLOOKUP(G184,Ch6_Storage,2, FALSE),0)</f>
        <v>0</v>
      </c>
    </row>
    <row r="185" ht="18.75" customHeight="1">
      <c r="A185" s="1005">
        <f>IFERROR(VLOOKUP(H185,PartyStorage,2, FALSE),0)</f>
        <v>0</v>
      </c>
      <c r="B185" s="1077"/>
      <c r="C185" s="1052"/>
      <c r="D185" s="1069"/>
      <c r="E185" s="407" t="str">
        <f t="shared" si="2"/>
        <v/>
      </c>
      <c r="F185" s="1052"/>
      <c r="G185" s="1065"/>
      <c r="H185" s="1053"/>
      <c r="I185" s="1054"/>
      <c r="M185" s="378"/>
      <c r="N185" s="553">
        <f>IFERROR(VLOOKUP(G185,Ch6_Storage,2, FALSE),0)</f>
        <v>0</v>
      </c>
    </row>
    <row r="186" ht="18.75" customHeight="1">
      <c r="A186" s="1005">
        <f>IFERROR(VLOOKUP(H186,PartyStorage,2, FALSE),0)</f>
        <v>0</v>
      </c>
      <c r="B186" s="1078"/>
      <c r="C186" s="1059"/>
      <c r="D186" s="1079"/>
      <c r="E186" s="1058" t="str">
        <f t="shared" si="2"/>
        <v/>
      </c>
      <c r="F186" s="1059"/>
      <c r="G186" s="1061"/>
      <c r="H186" s="1072"/>
      <c r="I186" s="1062"/>
      <c r="M186" s="1063"/>
      <c r="N186" s="553">
        <f>IFERROR(VLOOKUP(G186,Ch6_Storage,2, FALSE),0)</f>
        <v>0</v>
      </c>
    </row>
    <row r="187" ht="18.75" customHeight="1">
      <c r="A187" s="1005">
        <f>IFERROR(VLOOKUP(H187,PartyStorage,2, FALSE),0)</f>
        <v>0</v>
      </c>
      <c r="B187" s="1077"/>
      <c r="C187" s="1052"/>
      <c r="D187" s="1069"/>
      <c r="E187" s="407" t="str">
        <f t="shared" si="2"/>
        <v/>
      </c>
      <c r="F187" s="1052"/>
      <c r="G187" s="1065"/>
      <c r="H187" s="1053"/>
      <c r="I187" s="1054"/>
      <c r="M187" s="378"/>
      <c r="N187" s="553">
        <f>IFERROR(VLOOKUP(G187,Ch6_Storage,2, FALSE),0)</f>
        <v>0</v>
      </c>
    </row>
    <row r="188" ht="18.75" customHeight="1">
      <c r="A188" s="1005">
        <f>IFERROR(VLOOKUP(H188,PartyStorage,2, FALSE),0)</f>
        <v>0</v>
      </c>
      <c r="B188" s="1078"/>
      <c r="C188" s="1059"/>
      <c r="D188" s="1079"/>
      <c r="E188" s="1058" t="str">
        <f t="shared" si="2"/>
        <v/>
      </c>
      <c r="F188" s="1059"/>
      <c r="G188" s="1061"/>
      <c r="H188" s="1072"/>
      <c r="I188" s="1062"/>
      <c r="M188" s="1063"/>
      <c r="N188" s="553">
        <f>IFERROR(VLOOKUP(G188,Ch6_Storage,2, FALSE),0)</f>
        <v>0</v>
      </c>
    </row>
    <row r="189" ht="18.75" customHeight="1">
      <c r="A189" s="1005">
        <f>IFERROR(VLOOKUP(H189,PartyStorage,2, FALSE),0)</f>
        <v>0</v>
      </c>
      <c r="B189" s="1077"/>
      <c r="C189" s="1052"/>
      <c r="D189" s="1069"/>
      <c r="E189" s="407" t="str">
        <f t="shared" si="2"/>
        <v/>
      </c>
      <c r="F189" s="1052"/>
      <c r="G189" s="1065"/>
      <c r="H189" s="1053"/>
      <c r="I189" s="1054"/>
      <c r="M189" s="378"/>
      <c r="N189" s="553">
        <f>IFERROR(VLOOKUP(G189,Ch6_Storage,2, FALSE),0)</f>
        <v>0</v>
      </c>
    </row>
    <row r="190" ht="18.75" customHeight="1">
      <c r="A190" s="1005">
        <f>IFERROR(VLOOKUP(H190,PartyStorage,2, FALSE),0)</f>
        <v>0</v>
      </c>
      <c r="B190" s="1078"/>
      <c r="C190" s="1059"/>
      <c r="D190" s="1079"/>
      <c r="E190" s="1058" t="str">
        <f t="shared" si="2"/>
        <v/>
      </c>
      <c r="F190" s="1059"/>
      <c r="G190" s="1061"/>
      <c r="H190" s="1072"/>
      <c r="I190" s="1062"/>
      <c r="M190" s="1063"/>
      <c r="N190" s="553">
        <f>IFERROR(VLOOKUP(G190,Ch6_Storage,2, FALSE),0)</f>
        <v>0</v>
      </c>
    </row>
    <row r="191" ht="18.75" customHeight="1">
      <c r="A191" s="1005">
        <f>IFERROR(VLOOKUP(H191,PartyStorage,2, FALSE),0)</f>
        <v>0</v>
      </c>
      <c r="B191" s="1077"/>
      <c r="C191" s="1052"/>
      <c r="D191" s="1069"/>
      <c r="E191" s="407" t="str">
        <f t="shared" si="2"/>
        <v/>
      </c>
      <c r="F191" s="1052"/>
      <c r="G191" s="1065"/>
      <c r="H191" s="1053"/>
      <c r="I191" s="1054"/>
      <c r="M191" s="378"/>
      <c r="N191" s="553">
        <f>IFERROR(VLOOKUP(G191,Ch6_Storage,2, FALSE),0)</f>
        <v>0</v>
      </c>
    </row>
    <row r="192" ht="18.75" customHeight="1">
      <c r="A192" s="1005">
        <f>IFERROR(VLOOKUP(H192,PartyStorage,2, FALSE),0)</f>
        <v>0</v>
      </c>
      <c r="B192" s="1078"/>
      <c r="C192" s="1059"/>
      <c r="D192" s="1079"/>
      <c r="E192" s="1058" t="str">
        <f t="shared" si="2"/>
        <v/>
      </c>
      <c r="F192" s="1059"/>
      <c r="G192" s="1061"/>
      <c r="H192" s="1072"/>
      <c r="I192" s="1062"/>
      <c r="M192" s="1063"/>
      <c r="N192" s="553">
        <f>IFERROR(VLOOKUP(G192,Ch6_Storage,2, FALSE),0)</f>
        <v>0</v>
      </c>
    </row>
    <row r="193" ht="18.75" customHeight="1">
      <c r="A193" s="1005">
        <f>IFERROR(VLOOKUP(H193,PartyStorage,2, FALSE),0)</f>
        <v>0</v>
      </c>
      <c r="B193" s="1077"/>
      <c r="C193" s="1052"/>
      <c r="D193" s="1069"/>
      <c r="E193" s="407" t="str">
        <f t="shared" si="2"/>
        <v/>
      </c>
      <c r="F193" s="1052"/>
      <c r="G193" s="1065"/>
      <c r="H193" s="1053"/>
      <c r="I193" s="1054"/>
      <c r="M193" s="378"/>
      <c r="N193" s="553">
        <f>IFERROR(VLOOKUP(G193,Ch6_Storage,2, FALSE),0)</f>
        <v>0</v>
      </c>
    </row>
    <row r="194" ht="18.75" customHeight="1">
      <c r="A194" s="1005">
        <f>IFERROR(VLOOKUP(H194,PartyStorage,2, FALSE),0)</f>
        <v>0</v>
      </c>
      <c r="B194" s="1078"/>
      <c r="C194" s="1059"/>
      <c r="D194" s="1079"/>
      <c r="E194" s="1058" t="str">
        <f t="shared" si="2"/>
        <v/>
      </c>
      <c r="F194" s="1059"/>
      <c r="G194" s="1061"/>
      <c r="H194" s="1072"/>
      <c r="I194" s="1062"/>
      <c r="M194" s="1063"/>
      <c r="N194" s="553">
        <f>IFERROR(VLOOKUP(G194,Ch6_Storage,2, FALSE),0)</f>
        <v>0</v>
      </c>
    </row>
    <row r="195" ht="18.75" customHeight="1">
      <c r="A195" s="1005">
        <f>IFERROR(VLOOKUP(H195,PartyStorage,2, FALSE),0)</f>
        <v>0</v>
      </c>
      <c r="B195" s="1077"/>
      <c r="C195" s="1052"/>
      <c r="D195" s="1069"/>
      <c r="E195" s="407" t="str">
        <f t="shared" si="2"/>
        <v/>
      </c>
      <c r="F195" s="1052"/>
      <c r="G195" s="1065"/>
      <c r="H195" s="1053"/>
      <c r="I195" s="1054"/>
      <c r="M195" s="378"/>
      <c r="N195" s="553">
        <f>IFERROR(VLOOKUP(G195,Ch6_Storage,2, FALSE),0)</f>
        <v>0</v>
      </c>
    </row>
    <row r="196" ht="18.75" customHeight="1">
      <c r="A196" s="1005">
        <f>IFERROR(VLOOKUP(H196,PartyStorage,2, FALSE),0)</f>
        <v>0</v>
      </c>
      <c r="B196" s="1078"/>
      <c r="C196" s="1059"/>
      <c r="D196" s="1079"/>
      <c r="E196" s="1058" t="str">
        <f t="shared" si="2"/>
        <v/>
      </c>
      <c r="F196" s="1059"/>
      <c r="G196" s="1061"/>
      <c r="H196" s="1072"/>
      <c r="I196" s="1062"/>
      <c r="M196" s="1063"/>
      <c r="N196" s="553">
        <f>IFERROR(VLOOKUP(G196,Ch6_Storage,2, FALSE),0)</f>
        <v>0</v>
      </c>
    </row>
    <row r="197" ht="18.75" customHeight="1">
      <c r="A197" s="1005">
        <f>IFERROR(VLOOKUP(H197,PartyStorage,2, FALSE),0)</f>
        <v>0</v>
      </c>
      <c r="B197" s="1077"/>
      <c r="C197" s="1052"/>
      <c r="D197" s="1069"/>
      <c r="E197" s="407" t="str">
        <f t="shared" si="2"/>
        <v/>
      </c>
      <c r="F197" s="1052"/>
      <c r="G197" s="1065"/>
      <c r="H197" s="1053"/>
      <c r="I197" s="1054"/>
      <c r="M197" s="378"/>
      <c r="N197" s="553">
        <f>IFERROR(VLOOKUP(G197,Ch6_Storage,2, FALSE),0)</f>
        <v>0</v>
      </c>
    </row>
    <row r="198" ht="18.75" customHeight="1">
      <c r="A198" s="1005">
        <f>IFERROR(VLOOKUP(H198,PartyStorage,2, FALSE),0)</f>
        <v>0</v>
      </c>
      <c r="B198" s="1078"/>
      <c r="C198" s="1059"/>
      <c r="D198" s="1079"/>
      <c r="E198" s="1058" t="str">
        <f t="shared" si="2"/>
        <v/>
      </c>
      <c r="F198" s="1059"/>
      <c r="G198" s="1061"/>
      <c r="H198" s="1072"/>
      <c r="I198" s="1062"/>
      <c r="M198" s="1063"/>
      <c r="N198" s="553">
        <f>IFERROR(VLOOKUP(G198,Ch6_Storage,2, FALSE),0)</f>
        <v>0</v>
      </c>
    </row>
    <row r="199" ht="18.75" customHeight="1">
      <c r="A199" s="1005">
        <f>IFERROR(VLOOKUP(H199,PartyStorage,2, FALSE),0)</f>
        <v>0</v>
      </c>
      <c r="B199" s="1077"/>
      <c r="C199" s="1052"/>
      <c r="D199" s="1069"/>
      <c r="E199" s="407" t="str">
        <f t="shared" si="2"/>
        <v/>
      </c>
      <c r="F199" s="1052"/>
      <c r="G199" s="1065"/>
      <c r="H199" s="1053"/>
      <c r="I199" s="1054"/>
      <c r="M199" s="378"/>
      <c r="N199" s="553">
        <f>IFERROR(VLOOKUP(G199,Ch6_Storage,2, FALSE),0)</f>
        <v>0</v>
      </c>
    </row>
    <row r="200" ht="18.75" customHeight="1">
      <c r="A200" s="1005">
        <f>IFERROR(VLOOKUP(H200,PartyStorage,2, FALSE),0)</f>
        <v>0</v>
      </c>
      <c r="B200" s="1078"/>
      <c r="C200" s="1059"/>
      <c r="D200" s="1079"/>
      <c r="E200" s="1058" t="str">
        <f t="shared" si="2"/>
        <v/>
      </c>
      <c r="F200" s="1059"/>
      <c r="G200" s="1061"/>
      <c r="H200" s="1072"/>
      <c r="I200" s="1062"/>
      <c r="M200" s="1063"/>
      <c r="N200" s="553">
        <f>IFERROR(VLOOKUP(G200,Ch6_Storage,2, FALSE),0)</f>
        <v>0</v>
      </c>
    </row>
    <row r="201" ht="18.75" customHeight="1">
      <c r="A201" s="1005">
        <f>IFERROR(VLOOKUP(H201,PartyStorage,2, FALSE),0)</f>
        <v>0</v>
      </c>
      <c r="B201" s="1077"/>
      <c r="C201" s="1052"/>
      <c r="D201" s="1069"/>
      <c r="E201" s="407" t="str">
        <f t="shared" si="2"/>
        <v/>
      </c>
      <c r="F201" s="1052"/>
      <c r="G201" s="1065"/>
      <c r="H201" s="1053"/>
      <c r="I201" s="1054"/>
      <c r="M201" s="378"/>
      <c r="N201" s="553">
        <f>IFERROR(VLOOKUP(G201,Ch6_Storage,2, FALSE),0)</f>
        <v>0</v>
      </c>
    </row>
    <row r="202" ht="18.75" customHeight="1">
      <c r="A202" s="1005">
        <f>IFERROR(VLOOKUP(H202,PartyStorage,2, FALSE),0)</f>
        <v>0</v>
      </c>
      <c r="B202" s="1078"/>
      <c r="C202" s="1059"/>
      <c r="D202" s="1079"/>
      <c r="E202" s="1058" t="str">
        <f t="shared" si="2"/>
        <v/>
      </c>
      <c r="F202" s="1059"/>
      <c r="G202" s="1061"/>
      <c r="H202" s="1072"/>
      <c r="I202" s="1062"/>
      <c r="M202" s="1063"/>
      <c r="N202" s="553">
        <f>IFERROR(VLOOKUP(G202,Ch6_Storage,2, FALSE),0)</f>
        <v>0</v>
      </c>
    </row>
    <row r="203" ht="18.75" customHeight="1">
      <c r="A203" s="1005">
        <f>IFERROR(VLOOKUP(H203,PartyStorage,2, FALSE),0)</f>
        <v>0</v>
      </c>
      <c r="B203" s="1077"/>
      <c r="C203" s="1052"/>
      <c r="D203" s="1069"/>
      <c r="E203" s="407" t="str">
        <f t="shared" si="2"/>
        <v/>
      </c>
      <c r="F203" s="1052"/>
      <c r="G203" s="1065"/>
      <c r="H203" s="1053"/>
      <c r="I203" s="1054"/>
      <c r="M203" s="378"/>
      <c r="N203" s="553">
        <f>IFERROR(VLOOKUP(G203,Ch6_Storage,2, FALSE),0)</f>
        <v>0</v>
      </c>
    </row>
    <row r="204" ht="18.75" customHeight="1">
      <c r="A204" s="1005">
        <f>IFERROR(VLOOKUP(H204,PartyStorage,2, FALSE),0)</f>
        <v>0</v>
      </c>
      <c r="B204" s="1078"/>
      <c r="C204" s="1059"/>
      <c r="D204" s="1079"/>
      <c r="E204" s="1058" t="str">
        <f t="shared" si="2"/>
        <v/>
      </c>
      <c r="F204" s="1059"/>
      <c r="G204" s="1061"/>
      <c r="H204" s="1072"/>
      <c r="I204" s="1062"/>
      <c r="M204" s="1063"/>
      <c r="N204" s="553">
        <f>IFERROR(VLOOKUP(G204,Ch6_Storage,2, FALSE),0)</f>
        <v>0</v>
      </c>
    </row>
    <row r="205" ht="18.75" customHeight="1">
      <c r="A205" s="1005">
        <f>IFERROR(VLOOKUP(H205,PartyStorage,2, FALSE),0)</f>
        <v>0</v>
      </c>
      <c r="B205" s="1077"/>
      <c r="C205" s="1052"/>
      <c r="D205" s="1069"/>
      <c r="E205" s="407" t="str">
        <f t="shared" si="2"/>
        <v/>
      </c>
      <c r="F205" s="1052"/>
      <c r="G205" s="1065"/>
      <c r="H205" s="1053"/>
      <c r="I205" s="1054"/>
      <c r="M205" s="378"/>
      <c r="N205" s="553">
        <f>IFERROR(VLOOKUP(G205,Ch6_Storage,2, FALSE),0)</f>
        <v>0</v>
      </c>
    </row>
    <row r="206" ht="18.75" customHeight="1">
      <c r="A206" s="1005">
        <f>IFERROR(VLOOKUP(H206,PartyStorage,2, FALSE),0)</f>
        <v>0</v>
      </c>
      <c r="B206" s="1078"/>
      <c r="C206" s="1059"/>
      <c r="D206" s="1079"/>
      <c r="E206" s="1058" t="str">
        <f t="shared" si="2"/>
        <v/>
      </c>
      <c r="F206" s="1059"/>
      <c r="G206" s="1061"/>
      <c r="H206" s="1072"/>
      <c r="I206" s="1062"/>
      <c r="M206" s="1063"/>
      <c r="N206" s="553">
        <f>IFERROR(VLOOKUP(G206,Ch6_Storage,2, FALSE),0)</f>
        <v>0</v>
      </c>
    </row>
    <row r="207" ht="18.75" customHeight="1">
      <c r="A207" s="1005">
        <f>IFERROR(VLOOKUP(H207,PartyStorage,2, FALSE),0)</f>
        <v>0</v>
      </c>
      <c r="B207" s="1077"/>
      <c r="C207" s="1052"/>
      <c r="D207" s="1069"/>
      <c r="E207" s="407" t="str">
        <f t="shared" si="2"/>
        <v/>
      </c>
      <c r="F207" s="1052"/>
      <c r="G207" s="1065"/>
      <c r="H207" s="1053"/>
      <c r="I207" s="1054"/>
      <c r="M207" s="378"/>
      <c r="N207" s="553">
        <f>IFERROR(VLOOKUP(G207,Ch6_Storage,2, FALSE),0)</f>
        <v>0</v>
      </c>
    </row>
    <row r="208" ht="18.75" customHeight="1">
      <c r="A208" s="1005">
        <f>IFERROR(VLOOKUP(H208,PartyStorage,2, FALSE),0)</f>
        <v>0</v>
      </c>
      <c r="B208" s="1080"/>
      <c r="C208" s="1081"/>
      <c r="D208" s="1082"/>
      <c r="E208" s="1083" t="str">
        <f t="shared" si="2"/>
        <v/>
      </c>
      <c r="F208" s="1081"/>
      <c r="G208" s="1084"/>
      <c r="H208" s="1085"/>
      <c r="I208" s="1086"/>
      <c r="J208" s="1087"/>
      <c r="K208" s="1087"/>
      <c r="L208" s="1087"/>
      <c r="M208" s="1088"/>
      <c r="N208" s="553">
        <f>IFERROR(VLOOKUP(G208,Ch6_Storage,2, FALSE),0)</f>
        <v>0</v>
      </c>
    </row>
    <row r="209" ht="7.5" customHeight="1">
      <c r="A209" s="1004"/>
      <c r="B209" s="261"/>
      <c r="C209" s="261"/>
      <c r="D209" s="261"/>
      <c r="E209" s="261"/>
      <c r="F209" s="261"/>
      <c r="G209" s="261"/>
      <c r="H209" s="261"/>
      <c r="I209" s="261"/>
      <c r="J209" s="261"/>
      <c r="K209" s="261"/>
      <c r="L209" s="261"/>
      <c r="M209" s="261"/>
      <c r="N209" s="553"/>
    </row>
  </sheetData>
  <mergeCells count="193">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8:M58"/>
    <mergeCell ref="I59:M59"/>
    <mergeCell ref="I60:M60"/>
    <mergeCell ref="I61:M61"/>
    <mergeCell ref="I62:M62"/>
    <mergeCell ref="I63:M63"/>
    <mergeCell ref="I64:M64"/>
    <mergeCell ref="I66:M66"/>
    <mergeCell ref="I67:M67"/>
    <mergeCell ref="I68:M68"/>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44:M144"/>
    <mergeCell ref="I145:M145"/>
    <mergeCell ref="I146:M146"/>
    <mergeCell ref="I147:M147"/>
    <mergeCell ref="I204:M204"/>
    <mergeCell ref="I205:M205"/>
    <mergeCell ref="I206:M206"/>
    <mergeCell ref="I207:M207"/>
    <mergeCell ref="I208:M208"/>
    <mergeCell ref="I197:M197"/>
    <mergeCell ref="I198:M198"/>
    <mergeCell ref="I199:M199"/>
    <mergeCell ref="I200:M200"/>
    <mergeCell ref="I201:M201"/>
    <mergeCell ref="I202:M202"/>
    <mergeCell ref="I203:M203"/>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 ref="I193:M193"/>
    <mergeCell ref="I194:M194"/>
    <mergeCell ref="I195:M195"/>
    <mergeCell ref="I196:M196"/>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11" priority="4">
      <formula>IF($N$2="",true,false)</formula>
    </cfRule>
  </conditionalFormatting>
  <conditionalFormatting sqref="K3:M7">
    <cfRule type="expression" dxfId="12" priority="5">
      <formula>IF($N$2="",true,false)</formula>
    </cfRule>
  </conditionalFormatting>
  <dataValidations>
    <dataValidation type="list" allowBlank="1" showErrorMessage="1" sqref="H27:H208">
      <formula1>PartyStorageSingle</formula1>
    </dataValidation>
    <dataValidation type="list" allowBlank="1" showInputMessage="1" showErrorMessage="1" prompt="Every item must have a PC or party storage location" sqref="G27:G208">
      <formula1>'Character Info'!$T$19:$T$28</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283" t="str">
        <f>Ch7_Name</f>
        <v/>
      </c>
      <c r="B1" s="437"/>
      <c r="C1" s="438"/>
      <c r="D1" s="438"/>
      <c r="E1" s="248" t="s">
        <v>62</v>
      </c>
      <c r="F1" s="438"/>
      <c r="G1" s="439"/>
      <c r="H1" s="439"/>
      <c r="I1" s="440" t="s">
        <v>63</v>
      </c>
      <c r="J1" s="426"/>
      <c r="K1" s="439"/>
      <c r="L1" s="439"/>
      <c r="M1" s="439"/>
      <c r="N1" s="439"/>
      <c r="O1" s="439"/>
      <c r="P1" s="439"/>
      <c r="Q1" s="439"/>
      <c r="R1" s="439"/>
      <c r="S1" s="439"/>
      <c r="T1" s="439"/>
      <c r="U1" s="439"/>
      <c r="V1" s="439"/>
      <c r="W1" s="439"/>
      <c r="X1" s="439"/>
      <c r="Y1" s="439"/>
      <c r="Z1" s="439"/>
      <c r="AA1" s="439"/>
      <c r="AB1" s="439"/>
    </row>
    <row r="2" ht="18.75" customHeight="1">
      <c r="A2" s="543" t="str">
        <f>IF(ISBLANK(Ch7_Size),"",VLOOKUP(Ch7_Size,SizeMultipliers,2, FALSE))</f>
        <v/>
      </c>
      <c r="B2" s="1089" t="s">
        <v>64</v>
      </c>
      <c r="C2" s="1090"/>
      <c r="D2" s="1091"/>
      <c r="E2" s="547" t="str">
        <f>IMAGE(E1,1)</f>
        <v/>
      </c>
      <c r="G2" s="1092" t="s">
        <v>65</v>
      </c>
      <c r="H2" s="1093"/>
      <c r="I2" s="446" t="str">
        <f>IMAGE(I1,1)</f>
        <v/>
      </c>
      <c r="K2" s="1089" t="str">
        <f>IF(ISBLANK(Ch7_MountName),"Mount",Ch7_MountName)&amp;"'s Encumbrance"</f>
        <v>Mount's Encumbrance</v>
      </c>
      <c r="L2" s="192"/>
      <c r="M2" s="193"/>
      <c r="N2" s="348" t="str">
        <f>IF(ISBLANK(Ch7_MountSize),"",VLOOKUP(Ch7_MountSize,SizeMultipliers,2, FALSE))</f>
        <v/>
      </c>
    </row>
    <row r="3" ht="18.75" customHeight="1">
      <c r="A3" s="289"/>
      <c r="B3" s="352" t="s">
        <v>53</v>
      </c>
      <c r="C3" s="353"/>
      <c r="D3" s="1094">
        <f>Ch7_Str*Ch7_SizeMultiplier*5</f>
        <v>0</v>
      </c>
      <c r="G3" s="1095" t="s">
        <v>66</v>
      </c>
      <c r="H3" s="1096">
        <v>0.0</v>
      </c>
      <c r="K3" s="352" t="s">
        <v>53</v>
      </c>
      <c r="L3" s="353"/>
      <c r="M3" s="1094">
        <f>Ch7_MountStr*Ch7_MountSizeMult*5</f>
        <v>0</v>
      </c>
      <c r="N3" s="553"/>
    </row>
    <row r="4" ht="18.75" customHeight="1">
      <c r="A4" s="289"/>
      <c r="B4" s="1097" t="s">
        <v>55</v>
      </c>
      <c r="C4" s="1098"/>
      <c r="D4" s="1099">
        <f>Ch7_Str*Ch7_SizeMultiplier*10</f>
        <v>0</v>
      </c>
      <c r="G4" s="1100" t="s">
        <v>67</v>
      </c>
      <c r="H4" s="1096">
        <f>(VLOOKUP(ADD(Ch7_Level,1),XPTable_v,2))-Ch7_XP</f>
        <v>300</v>
      </c>
      <c r="K4" s="1097" t="s">
        <v>55</v>
      </c>
      <c r="L4" s="1098"/>
      <c r="M4" s="1099">
        <f>Ch7_MountStr*Ch7_MountSizeMult*10</f>
        <v>0</v>
      </c>
      <c r="N4" s="553"/>
    </row>
    <row r="5" ht="18.75" customHeight="1">
      <c r="A5" s="289"/>
      <c r="B5" s="352" t="s">
        <v>17</v>
      </c>
      <c r="C5" s="353"/>
      <c r="D5" s="1094">
        <f>Ch7_Str*Ch7_SizeMultiplier*15</f>
        <v>0</v>
      </c>
      <c r="G5" s="1101" t="s">
        <v>68</v>
      </c>
      <c r="H5" s="1102">
        <f>MATCH(Ch7_XP,XPTable_m,2)</f>
        <v>1</v>
      </c>
      <c r="K5" s="352" t="s">
        <v>17</v>
      </c>
      <c r="L5" s="353"/>
      <c r="M5" s="1094">
        <f>Ch7_MountStr*Ch7_MountSizeMult*15</f>
        <v>0</v>
      </c>
      <c r="N5" s="553"/>
    </row>
    <row r="6" ht="18.75" customHeight="1">
      <c r="A6" s="289"/>
      <c r="B6" s="1097" t="s">
        <v>57</v>
      </c>
      <c r="C6" s="1098"/>
      <c r="D6" s="1099">
        <f>Ch7_Str*Ch7_SizeMultiplier*30</f>
        <v>0</v>
      </c>
      <c r="G6" s="17"/>
      <c r="H6" s="17"/>
      <c r="K6" s="1097" t="s">
        <v>57</v>
      </c>
      <c r="L6" s="1098"/>
      <c r="M6" s="1099">
        <f>Ch7_MountStr*Ch7_MountSizeMult*30</f>
        <v>0</v>
      </c>
      <c r="N6" s="553"/>
    </row>
    <row r="7" ht="18.75" customHeight="1">
      <c r="A7" s="289"/>
      <c r="B7" s="457" t="s">
        <v>43</v>
      </c>
      <c r="C7" s="1103"/>
      <c r="D7" s="1104">
        <f t="array" ref="D7">SUMIF(Ch7_EquipStatus,"=On Character",Ch7_InventoryWeights)</f>
        <v>0</v>
      </c>
      <c r="G7" s="1105" t="s">
        <v>30</v>
      </c>
      <c r="H7" s="461">
        <f>SUM(G11:G15,G19:G24)</f>
        <v>0</v>
      </c>
      <c r="K7" s="369" t="s">
        <v>43</v>
      </c>
      <c r="L7" s="1103"/>
      <c r="M7" s="1106">
        <f t="array" ref="M7">SUMIF(Ch7_EquipStatus,"=On Mount",Ch7_InventoryWeights)+++IF( NOT(EQ(N2,"")),D7+Ch7_Weight,"")</f>
        <v>0</v>
      </c>
      <c r="N7" s="553"/>
    </row>
    <row r="8" ht="7.5" customHeight="1">
      <c r="A8" s="289"/>
      <c r="B8" s="463"/>
      <c r="C8" s="464"/>
      <c r="D8" s="465"/>
      <c r="E8" s="464"/>
      <c r="F8" s="464"/>
      <c r="G8" s="464"/>
      <c r="H8" s="464"/>
      <c r="I8" s="466"/>
      <c r="J8" s="467"/>
      <c r="K8" s="467"/>
      <c r="L8" s="467"/>
      <c r="M8" s="467"/>
      <c r="N8" s="553"/>
    </row>
    <row r="9" ht="18.75" customHeight="1">
      <c r="A9" s="289"/>
      <c r="B9" s="1107" t="s">
        <v>28</v>
      </c>
      <c r="C9" s="1108"/>
      <c r="D9" s="1109" t="s">
        <v>29</v>
      </c>
      <c r="E9" s="1110"/>
      <c r="F9" s="1110"/>
      <c r="G9" s="1110"/>
      <c r="H9" s="1110"/>
      <c r="I9" s="1111"/>
      <c r="J9" s="1112"/>
      <c r="K9" s="1112"/>
      <c r="L9" s="1112"/>
      <c r="M9" s="1113"/>
      <c r="N9" s="553"/>
    </row>
    <row r="10" ht="18.75" customHeight="1">
      <c r="A10" s="289"/>
      <c r="B10" s="1114" t="s">
        <v>31</v>
      </c>
      <c r="C10" s="1115" t="s">
        <v>11</v>
      </c>
      <c r="D10" s="1115" t="s">
        <v>32</v>
      </c>
      <c r="E10" s="1115" t="s">
        <v>33</v>
      </c>
      <c r="F10" s="1115" t="s">
        <v>34</v>
      </c>
      <c r="G10" s="1115" t="s">
        <v>35</v>
      </c>
      <c r="H10" s="1115" t="s">
        <v>36</v>
      </c>
      <c r="I10" s="1115" t="s">
        <v>37</v>
      </c>
      <c r="J10" s="1115" t="s">
        <v>38</v>
      </c>
      <c r="K10" s="1115" t="s">
        <v>39</v>
      </c>
      <c r="L10" s="1115" t="s">
        <v>40</v>
      </c>
      <c r="M10" s="1116" t="s">
        <v>41</v>
      </c>
      <c r="N10" s="329"/>
    </row>
    <row r="11" ht="18.75" customHeight="1">
      <c r="A11" s="289"/>
      <c r="B11" s="693">
        <v>0.0</v>
      </c>
      <c r="C11" s="1117" t="s">
        <v>42</v>
      </c>
      <c r="D11" s="1118">
        <f>B11</f>
        <v>0</v>
      </c>
      <c r="E11" s="1119">
        <f>B11/10</f>
        <v>0</v>
      </c>
      <c r="F11" s="1119">
        <f>B11/50</f>
        <v>0</v>
      </c>
      <c r="G11" s="1119">
        <f>B11/100</f>
        <v>0</v>
      </c>
      <c r="H11" s="1119">
        <f>B11/1000</f>
        <v>0</v>
      </c>
      <c r="I11" s="1120">
        <f>B11/5000</f>
        <v>0</v>
      </c>
      <c r="J11" s="1121">
        <f>B11/10000</f>
        <v>0</v>
      </c>
      <c r="K11" s="1121">
        <f>B11/50000</f>
        <v>0</v>
      </c>
      <c r="L11" s="1121">
        <f>B11/100000</f>
        <v>0</v>
      </c>
      <c r="M11" s="1122">
        <f>B11/500000</f>
        <v>0</v>
      </c>
      <c r="N11" s="553"/>
    </row>
    <row r="12" ht="18.75" customHeight="1">
      <c r="A12" s="289"/>
      <c r="B12" s="693">
        <v>0.0</v>
      </c>
      <c r="C12" s="1117" t="s">
        <v>44</v>
      </c>
      <c r="D12" s="1119">
        <f>B12*10</f>
        <v>0</v>
      </c>
      <c r="E12" s="1118">
        <f>B12</f>
        <v>0</v>
      </c>
      <c r="F12" s="1119">
        <f>B12/5</f>
        <v>0</v>
      </c>
      <c r="G12" s="1119">
        <f>B12/10</f>
        <v>0</v>
      </c>
      <c r="H12" s="1119">
        <f>B12/100</f>
        <v>0</v>
      </c>
      <c r="I12" s="1119">
        <f>B12/500</f>
        <v>0</v>
      </c>
      <c r="J12" s="1119">
        <f>B12/1000</f>
        <v>0</v>
      </c>
      <c r="K12" s="1119">
        <f>B12/5000</f>
        <v>0</v>
      </c>
      <c r="L12" s="1119">
        <f>B12/10000</f>
        <v>0</v>
      </c>
      <c r="M12" s="1123">
        <f>B12/50000</f>
        <v>0</v>
      </c>
      <c r="N12" s="553"/>
    </row>
    <row r="13" ht="18.75" customHeight="1">
      <c r="A13" s="289"/>
      <c r="B13" s="693">
        <v>0.0</v>
      </c>
      <c r="C13" s="1117" t="s">
        <v>45</v>
      </c>
      <c r="D13" s="1119">
        <f>B13*50</f>
        <v>0</v>
      </c>
      <c r="E13" s="1119">
        <f>B13*5</f>
        <v>0</v>
      </c>
      <c r="F13" s="1118">
        <f>B13</f>
        <v>0</v>
      </c>
      <c r="G13" s="1119">
        <f>B13/2</f>
        <v>0</v>
      </c>
      <c r="H13" s="1119">
        <f>B13/20</f>
        <v>0</v>
      </c>
      <c r="I13" s="1119">
        <f>B13/100</f>
        <v>0</v>
      </c>
      <c r="J13" s="1121">
        <f>B13/200</f>
        <v>0</v>
      </c>
      <c r="K13" s="1121">
        <f>B13/1000</f>
        <v>0</v>
      </c>
      <c r="L13" s="1121">
        <f>B13/2000</f>
        <v>0</v>
      </c>
      <c r="M13" s="1122">
        <f>B13/10000</f>
        <v>0</v>
      </c>
      <c r="N13" s="553"/>
    </row>
    <row r="14" ht="18.75" customHeight="1">
      <c r="A14" s="289"/>
      <c r="B14" s="693">
        <v>0.0</v>
      </c>
      <c r="C14" s="1117" t="s">
        <v>46</v>
      </c>
      <c r="D14" s="1119">
        <f>B14*100</f>
        <v>0</v>
      </c>
      <c r="E14" s="1119">
        <f>B14*10</f>
        <v>0</v>
      </c>
      <c r="F14" s="1119">
        <f>B14*2</f>
        <v>0</v>
      </c>
      <c r="G14" s="1118">
        <f>B14</f>
        <v>0</v>
      </c>
      <c r="H14" s="1119">
        <f>B14/10</f>
        <v>0</v>
      </c>
      <c r="I14" s="1119">
        <f>B14/50</f>
        <v>0</v>
      </c>
      <c r="J14" s="1121">
        <f>B14/100</f>
        <v>0</v>
      </c>
      <c r="K14" s="1121">
        <f>B14/500</f>
        <v>0</v>
      </c>
      <c r="L14" s="1121">
        <f>B14/1000</f>
        <v>0</v>
      </c>
      <c r="M14" s="1122">
        <f>B14/5000</f>
        <v>0</v>
      </c>
      <c r="N14" s="553"/>
    </row>
    <row r="15" ht="18.75" customHeight="1">
      <c r="A15" s="289"/>
      <c r="B15" s="701">
        <v>0.0</v>
      </c>
      <c r="C15" s="1124" t="s">
        <v>47</v>
      </c>
      <c r="D15" s="1125">
        <f>B15*1000</f>
        <v>0</v>
      </c>
      <c r="E15" s="1125">
        <f>B15*100</f>
        <v>0</v>
      </c>
      <c r="F15" s="1125">
        <f>B15*20</f>
        <v>0</v>
      </c>
      <c r="G15" s="1125">
        <f>B15*10</f>
        <v>0</v>
      </c>
      <c r="H15" s="1125">
        <f>B15*1</f>
        <v>0</v>
      </c>
      <c r="I15" s="1125">
        <f>B15/5</f>
        <v>0</v>
      </c>
      <c r="J15" s="1126">
        <f>B15/10</f>
        <v>0</v>
      </c>
      <c r="K15" s="1126">
        <f>B15/50</f>
        <v>0</v>
      </c>
      <c r="L15" s="1126">
        <f>B15/100</f>
        <v>0</v>
      </c>
      <c r="M15" s="1127">
        <f>B15/500</f>
        <v>0</v>
      </c>
      <c r="N15" s="553"/>
    </row>
    <row r="16" ht="7.5" customHeight="1">
      <c r="A16" s="289"/>
      <c r="B16" s="338"/>
      <c r="C16" s="339"/>
      <c r="D16" s="339"/>
      <c r="E16" s="339"/>
      <c r="F16" s="339"/>
      <c r="G16" s="339"/>
      <c r="H16" s="339"/>
      <c r="I16" s="339"/>
      <c r="J16" s="340"/>
      <c r="K16" s="340"/>
      <c r="L16" s="340"/>
      <c r="M16" s="340"/>
      <c r="N16" s="589"/>
      <c r="O16" s="114"/>
      <c r="P16" s="114"/>
      <c r="Q16" s="114"/>
      <c r="R16" s="114"/>
      <c r="S16" s="114"/>
      <c r="T16" s="114"/>
      <c r="U16" s="114"/>
      <c r="V16" s="114"/>
      <c r="W16" s="114"/>
      <c r="X16" s="114"/>
      <c r="Y16" s="114"/>
      <c r="Z16" s="114"/>
      <c r="AA16" s="114"/>
      <c r="AB16" s="114"/>
    </row>
    <row r="17" ht="18.75" customHeight="1">
      <c r="A17" s="289"/>
      <c r="B17" s="1107" t="s">
        <v>48</v>
      </c>
      <c r="C17" s="1110"/>
      <c r="D17" s="1109" t="s">
        <v>29</v>
      </c>
      <c r="E17" s="1110"/>
      <c r="F17" s="1110"/>
      <c r="G17" s="1110"/>
      <c r="H17" s="1110"/>
      <c r="I17" s="1110"/>
      <c r="J17" s="1112"/>
      <c r="K17" s="1112"/>
      <c r="L17" s="1112"/>
      <c r="M17" s="1113"/>
      <c r="N17" s="553"/>
    </row>
    <row r="18" ht="18.75" customHeight="1">
      <c r="A18" s="289"/>
      <c r="B18" s="1114" t="s">
        <v>31</v>
      </c>
      <c r="C18" s="1115" t="s">
        <v>11</v>
      </c>
      <c r="D18" s="1115" t="s">
        <v>32</v>
      </c>
      <c r="E18" s="1115" t="s">
        <v>33</v>
      </c>
      <c r="F18" s="1115" t="s">
        <v>34</v>
      </c>
      <c r="G18" s="1115" t="s">
        <v>35</v>
      </c>
      <c r="H18" s="1115" t="s">
        <v>36</v>
      </c>
      <c r="I18" s="1115" t="s">
        <v>37</v>
      </c>
      <c r="J18" s="1115" t="s">
        <v>38</v>
      </c>
      <c r="K18" s="1115" t="s">
        <v>39</v>
      </c>
      <c r="L18" s="1115" t="s">
        <v>40</v>
      </c>
      <c r="M18" s="1116" t="s">
        <v>41</v>
      </c>
      <c r="N18" s="553"/>
    </row>
    <row r="19" ht="18.75" customHeight="1">
      <c r="A19" s="289"/>
      <c r="B19" s="1128">
        <v>0.0</v>
      </c>
      <c r="C19" s="1117" t="s">
        <v>49</v>
      </c>
      <c r="D19" s="1119">
        <f>B19*1000</f>
        <v>0</v>
      </c>
      <c r="E19" s="1119">
        <f>B19*100</f>
        <v>0</v>
      </c>
      <c r="F19" s="1119">
        <f>B19*20</f>
        <v>0</v>
      </c>
      <c r="G19" s="1119">
        <f>B19*10</f>
        <v>0</v>
      </c>
      <c r="H19" s="1119">
        <f>B19*1</f>
        <v>0</v>
      </c>
      <c r="I19" s="1119">
        <f>B19/5</f>
        <v>0</v>
      </c>
      <c r="J19" s="1121">
        <f>B19/10</f>
        <v>0</v>
      </c>
      <c r="K19" s="1121">
        <f>B19/50</f>
        <v>0</v>
      </c>
      <c r="L19" s="1121">
        <f>B19/100</f>
        <v>0</v>
      </c>
      <c r="M19" s="1122">
        <f>B19/500</f>
        <v>0</v>
      </c>
      <c r="N19" s="553"/>
    </row>
    <row r="20" ht="18.75" customHeight="1">
      <c r="A20" s="289"/>
      <c r="B20" s="1128">
        <v>0.0</v>
      </c>
      <c r="C20" s="1117" t="s">
        <v>50</v>
      </c>
      <c r="D20" s="1119">
        <f>B20*5000</f>
        <v>0</v>
      </c>
      <c r="E20" s="1119">
        <f>B20*500</f>
        <v>0</v>
      </c>
      <c r="F20" s="1119">
        <f>B20*100</f>
        <v>0</v>
      </c>
      <c r="G20" s="1119">
        <f>B20*50</f>
        <v>0</v>
      </c>
      <c r="H20" s="1119">
        <f>B20*5</f>
        <v>0</v>
      </c>
      <c r="I20" s="1118">
        <f>B20</f>
        <v>0</v>
      </c>
      <c r="J20" s="1121">
        <f>B20/2</f>
        <v>0</v>
      </c>
      <c r="K20" s="1121">
        <f>B20/10</f>
        <v>0</v>
      </c>
      <c r="L20" s="1121">
        <f>B20/20</f>
        <v>0</v>
      </c>
      <c r="M20" s="1122">
        <f>B20/100</f>
        <v>0</v>
      </c>
      <c r="N20" s="553"/>
    </row>
    <row r="21" ht="18.75" customHeight="1">
      <c r="A21" s="289"/>
      <c r="B21" s="1128">
        <v>0.0</v>
      </c>
      <c r="C21" s="1117" t="s">
        <v>51</v>
      </c>
      <c r="D21" s="1119">
        <f>B21*10000</f>
        <v>0</v>
      </c>
      <c r="E21" s="1119">
        <f>B21*1000</f>
        <v>0</v>
      </c>
      <c r="F21" s="1119">
        <f>B21*200</f>
        <v>0</v>
      </c>
      <c r="G21" s="1119">
        <f>B21*100</f>
        <v>0</v>
      </c>
      <c r="H21" s="1119">
        <f>B21*10</f>
        <v>0</v>
      </c>
      <c r="I21" s="1119">
        <f>B21/5*10</f>
        <v>0</v>
      </c>
      <c r="J21" s="1129">
        <f>B21</f>
        <v>0</v>
      </c>
      <c r="K21" s="1121">
        <f>B21/5</f>
        <v>0</v>
      </c>
      <c r="L21" s="1121">
        <f>B21/10</f>
        <v>0</v>
      </c>
      <c r="M21" s="1122">
        <f>B21/50</f>
        <v>0</v>
      </c>
      <c r="N21" s="553"/>
    </row>
    <row r="22" ht="18.75" customHeight="1">
      <c r="A22" s="289"/>
      <c r="B22" s="1128">
        <v>0.0</v>
      </c>
      <c r="C22" s="1117" t="s">
        <v>52</v>
      </c>
      <c r="D22" s="1119">
        <f>B22*50000</f>
        <v>0</v>
      </c>
      <c r="E22" s="1119">
        <f>B22*5000</f>
        <v>0</v>
      </c>
      <c r="F22" s="1119">
        <f>B22*1000</f>
        <v>0</v>
      </c>
      <c r="G22" s="1119">
        <f>B22*500</f>
        <v>0</v>
      </c>
      <c r="H22" s="1119">
        <f>B22*50</f>
        <v>0</v>
      </c>
      <c r="I22" s="1119">
        <f>B22*10</f>
        <v>0</v>
      </c>
      <c r="J22" s="1121">
        <f>B22/2*10</f>
        <v>0</v>
      </c>
      <c r="K22" s="1129">
        <f>B22</f>
        <v>0</v>
      </c>
      <c r="L22" s="1121">
        <f>B22/2</f>
        <v>0</v>
      </c>
      <c r="M22" s="1122">
        <f>B22/10</f>
        <v>0</v>
      </c>
      <c r="N22" s="553"/>
    </row>
    <row r="23" ht="18.75" customHeight="1">
      <c r="A23" s="289"/>
      <c r="B23" s="1128">
        <v>0.0</v>
      </c>
      <c r="C23" s="1117" t="s">
        <v>54</v>
      </c>
      <c r="D23" s="1119">
        <f>B23*100000</f>
        <v>0</v>
      </c>
      <c r="E23" s="1119">
        <f>B23*10000</f>
        <v>0</v>
      </c>
      <c r="F23" s="1119">
        <f>B23*2000</f>
        <v>0</v>
      </c>
      <c r="G23" s="1119">
        <f>B23*1000</f>
        <v>0</v>
      </c>
      <c r="H23" s="1119">
        <f>B23*100</f>
        <v>0</v>
      </c>
      <c r="I23" s="1119">
        <f>B23/5*100</f>
        <v>0</v>
      </c>
      <c r="J23" s="1121">
        <f>B23*10</f>
        <v>0</v>
      </c>
      <c r="K23" s="1121">
        <f>B23/5*10</f>
        <v>0</v>
      </c>
      <c r="L23" s="1129">
        <f>B23</f>
        <v>0</v>
      </c>
      <c r="M23" s="1122">
        <f>B23/5</f>
        <v>0</v>
      </c>
      <c r="N23" s="553"/>
    </row>
    <row r="24" ht="18.75" customHeight="1">
      <c r="A24" s="289"/>
      <c r="B24" s="1130">
        <v>0.0</v>
      </c>
      <c r="C24" s="1124" t="s">
        <v>56</v>
      </c>
      <c r="D24" s="1125">
        <f>B24*500000</f>
        <v>0</v>
      </c>
      <c r="E24" s="1125">
        <f>B24*50000</f>
        <v>0</v>
      </c>
      <c r="F24" s="1125">
        <f>B24*10000</f>
        <v>0</v>
      </c>
      <c r="G24" s="1125">
        <f>B24*5000</f>
        <v>0</v>
      </c>
      <c r="H24" s="1125">
        <f>B24*500</f>
        <v>0</v>
      </c>
      <c r="I24" s="1125">
        <f>B24*100</f>
        <v>0</v>
      </c>
      <c r="J24" s="1126">
        <f>B24/2*100</f>
        <v>0</v>
      </c>
      <c r="K24" s="1126">
        <f>B24*10</f>
        <v>0</v>
      </c>
      <c r="L24" s="1126">
        <f>B24/2*10</f>
        <v>0</v>
      </c>
      <c r="M24" s="1131">
        <f>B24</f>
        <v>0</v>
      </c>
      <c r="N24" s="553"/>
    </row>
    <row r="25" ht="7.5" customHeight="1">
      <c r="A25" s="289"/>
      <c r="B25" s="364"/>
      <c r="C25" s="13"/>
      <c r="D25" s="13"/>
      <c r="E25" s="13"/>
      <c r="F25" s="13"/>
      <c r="G25" s="13"/>
      <c r="H25" s="13"/>
      <c r="I25" s="13"/>
      <c r="J25" s="261"/>
      <c r="K25" s="261"/>
      <c r="L25" s="261"/>
      <c r="M25" s="261"/>
      <c r="N25" s="553"/>
    </row>
    <row r="26" ht="18.75" customHeight="1">
      <c r="A26" s="289"/>
      <c r="B26" s="1132" t="s">
        <v>31</v>
      </c>
      <c r="C26" s="1133" t="s">
        <v>58</v>
      </c>
      <c r="D26" s="1133" t="s">
        <v>59</v>
      </c>
      <c r="E26" s="1133" t="s">
        <v>60</v>
      </c>
      <c r="F26" s="1133" t="s">
        <v>61</v>
      </c>
      <c r="G26" s="1133" t="s">
        <v>69</v>
      </c>
      <c r="H26" s="1134" t="s">
        <v>70</v>
      </c>
      <c r="I26" s="1135" t="s">
        <v>71</v>
      </c>
      <c r="J26" s="192"/>
      <c r="K26" s="192"/>
      <c r="L26" s="192"/>
      <c r="M26" s="193"/>
      <c r="N26" s="597"/>
    </row>
    <row r="27" ht="18.75" customHeight="1">
      <c r="A27" s="373">
        <f>IFERROR(VLOOKUP(H27,PartyStorage,2, FALSE),0)</f>
        <v>0</v>
      </c>
      <c r="B27" s="712">
        <f>sum(Ch7_Money)</f>
        <v>0</v>
      </c>
      <c r="C27" s="485" t="s">
        <v>28</v>
      </c>
      <c r="D27" s="509">
        <v>0.02</v>
      </c>
      <c r="E27" s="1136">
        <f t="shared" ref="E27:E208" si="1">IF(ISBLANK(C27),"",IF(ISBLANK(B27),D27,D27*B27))</f>
        <v>0</v>
      </c>
      <c r="F27" s="1137"/>
      <c r="G27" s="510"/>
      <c r="H27" s="1138"/>
      <c r="I27" s="1139"/>
      <c r="M27" s="378"/>
      <c r="N27" s="553">
        <f>IFERROR(VLOOKUP(G27,Ch7_Storage,2, FALSE),0)</f>
        <v>0</v>
      </c>
    </row>
    <row r="28" ht="18.75" customHeight="1">
      <c r="A28" s="373">
        <f>IFERROR(VLOOKUP(H28,PartyStorage,2, FALSE),0)</f>
        <v>0</v>
      </c>
      <c r="B28" s="1140">
        <f>sum(Ch7_Gems)</f>
        <v>0</v>
      </c>
      <c r="C28" s="1141" t="s">
        <v>48</v>
      </c>
      <c r="D28" s="1142">
        <v>0.02</v>
      </c>
      <c r="E28" s="1143">
        <f t="shared" si="1"/>
        <v>0</v>
      </c>
      <c r="F28" s="1144"/>
      <c r="G28" s="1145"/>
      <c r="H28" s="1146"/>
      <c r="I28" s="1147"/>
      <c r="M28" s="1148"/>
      <c r="N28" s="553">
        <f>IFERROR(VLOOKUP(G28,Ch7_Storage,2, FALSE),0)</f>
        <v>0</v>
      </c>
    </row>
    <row r="29" ht="18.75" customHeight="1">
      <c r="A29" s="373">
        <f>IFERROR(VLOOKUP(H29,PartyStorage,2, FALSE),0)</f>
        <v>0</v>
      </c>
      <c r="B29" s="1149"/>
      <c r="C29" s="1137"/>
      <c r="D29" s="1150"/>
      <c r="E29" s="1136" t="str">
        <f t="shared" si="1"/>
        <v/>
      </c>
      <c r="F29" s="1137"/>
      <c r="G29" s="1151"/>
      <c r="H29" s="1138"/>
      <c r="I29" s="1139"/>
      <c r="M29" s="378"/>
      <c r="N29" s="553">
        <f>IFERROR(VLOOKUP(G29,Ch7_Storage,2, FALSE),0)</f>
        <v>0</v>
      </c>
    </row>
    <row r="30" ht="18.75" customHeight="1">
      <c r="A30" s="373">
        <f>IFERROR(VLOOKUP(H30,PartyStorage,2, FALSE),0)</f>
        <v>0</v>
      </c>
      <c r="B30" s="1152"/>
      <c r="C30" s="1144"/>
      <c r="D30" s="1153"/>
      <c r="E30" s="1143" t="str">
        <f t="shared" si="1"/>
        <v/>
      </c>
      <c r="F30" s="1144"/>
      <c r="G30" s="1154"/>
      <c r="H30" s="1146"/>
      <c r="I30" s="1147"/>
      <c r="M30" s="1148"/>
      <c r="N30" s="553">
        <f>IFERROR(VLOOKUP(G30,Ch7_Storage,2, FALSE),0)</f>
        <v>0</v>
      </c>
    </row>
    <row r="31" ht="18.75" customHeight="1">
      <c r="A31" s="373">
        <f>IFERROR(VLOOKUP(H31,PartyStorage,2, FALSE),0)</f>
        <v>0</v>
      </c>
      <c r="B31" s="1149"/>
      <c r="C31" s="1137"/>
      <c r="D31" s="1150"/>
      <c r="E31" s="1136" t="str">
        <f t="shared" si="1"/>
        <v/>
      </c>
      <c r="F31" s="1137"/>
      <c r="G31" s="1151"/>
      <c r="H31" s="1138"/>
      <c r="I31" s="1139"/>
      <c r="M31" s="378"/>
      <c r="N31" s="553">
        <f>IFERROR(VLOOKUP(G31,Ch7_Storage,2, FALSE),0)</f>
        <v>0</v>
      </c>
    </row>
    <row r="32" ht="18.75" customHeight="1">
      <c r="A32" s="373">
        <f>IFERROR(VLOOKUP(H32,PartyStorage,2, FALSE),0)</f>
        <v>0</v>
      </c>
      <c r="B32" s="1152"/>
      <c r="C32" s="1144"/>
      <c r="D32" s="1153"/>
      <c r="E32" s="1143" t="str">
        <f t="shared" si="1"/>
        <v/>
      </c>
      <c r="F32" s="1144"/>
      <c r="G32" s="1154"/>
      <c r="H32" s="1146"/>
      <c r="I32" s="1147"/>
      <c r="M32" s="1148"/>
      <c r="N32" s="553">
        <f>IFERROR(VLOOKUP(G32,Ch7_Storage,2, FALSE),0)</f>
        <v>0</v>
      </c>
    </row>
    <row r="33" ht="18.75" customHeight="1">
      <c r="A33" s="373">
        <f>IFERROR(VLOOKUP(H33,PartyStorage,2, FALSE),0)</f>
        <v>0</v>
      </c>
      <c r="B33" s="1149"/>
      <c r="C33" s="1137"/>
      <c r="D33" s="1150"/>
      <c r="E33" s="1136" t="str">
        <f t="shared" si="1"/>
        <v/>
      </c>
      <c r="F33" s="1137"/>
      <c r="G33" s="1151"/>
      <c r="H33" s="1138"/>
      <c r="I33" s="1139"/>
      <c r="M33" s="378"/>
      <c r="N33" s="553">
        <f>IFERROR(VLOOKUP(G33,Ch7_Storage,2, FALSE),0)</f>
        <v>0</v>
      </c>
    </row>
    <row r="34" ht="18.75" customHeight="1">
      <c r="A34" s="373">
        <f>IFERROR(VLOOKUP(H34,PartyStorage,2, FALSE),0)</f>
        <v>0</v>
      </c>
      <c r="B34" s="1152"/>
      <c r="C34" s="1144"/>
      <c r="D34" s="1153"/>
      <c r="E34" s="1143" t="str">
        <f t="shared" si="1"/>
        <v/>
      </c>
      <c r="F34" s="1144"/>
      <c r="G34" s="1154"/>
      <c r="H34" s="1146"/>
      <c r="I34" s="1147"/>
      <c r="M34" s="1148"/>
      <c r="N34" s="553">
        <f>IFERROR(VLOOKUP(G34,Ch7_Storage,2, FALSE),0)</f>
        <v>0</v>
      </c>
    </row>
    <row r="35" ht="18.75" customHeight="1">
      <c r="A35" s="373">
        <f>IFERROR(VLOOKUP(H35,PartyStorage,2, FALSE),0)</f>
        <v>0</v>
      </c>
      <c r="B35" s="1149"/>
      <c r="C35" s="1137"/>
      <c r="D35" s="1150"/>
      <c r="E35" s="1136" t="str">
        <f t="shared" si="1"/>
        <v/>
      </c>
      <c r="F35" s="1137"/>
      <c r="G35" s="1151"/>
      <c r="H35" s="1138"/>
      <c r="I35" s="1139"/>
      <c r="M35" s="378"/>
      <c r="N35" s="553">
        <f>IFERROR(VLOOKUP(G35,Ch7_Storage,2, FALSE),0)</f>
        <v>0</v>
      </c>
    </row>
    <row r="36" ht="18.75" customHeight="1">
      <c r="A36" s="373">
        <f>IFERROR(VLOOKUP(H36,PartyStorage,2, FALSE),0)</f>
        <v>0</v>
      </c>
      <c r="B36" s="1152"/>
      <c r="C36" s="1144"/>
      <c r="D36" s="1153"/>
      <c r="E36" s="1143" t="str">
        <f t="shared" si="1"/>
        <v/>
      </c>
      <c r="F36" s="1144"/>
      <c r="G36" s="1154"/>
      <c r="H36" s="1146"/>
      <c r="I36" s="1147"/>
      <c r="M36" s="1148"/>
      <c r="N36" s="553">
        <f>IFERROR(VLOOKUP(G36,Ch7_Storage,2, FALSE),0)</f>
        <v>0</v>
      </c>
    </row>
    <row r="37" ht="18.75" customHeight="1">
      <c r="A37" s="373">
        <f>IFERROR(VLOOKUP(H37,PartyStorage,2, FALSE),0)</f>
        <v>0</v>
      </c>
      <c r="B37" s="1149"/>
      <c r="C37" s="1137"/>
      <c r="D37" s="1150"/>
      <c r="E37" s="1136" t="str">
        <f t="shared" si="1"/>
        <v/>
      </c>
      <c r="F37" s="1137"/>
      <c r="G37" s="1151"/>
      <c r="H37" s="1138"/>
      <c r="I37" s="1139"/>
      <c r="M37" s="378"/>
      <c r="N37" s="553">
        <f>IFERROR(VLOOKUP(G37,Ch7_Storage,2, FALSE),0)</f>
        <v>0</v>
      </c>
    </row>
    <row r="38" ht="18.75" customHeight="1">
      <c r="A38" s="373">
        <f>IFERROR(VLOOKUP(H38,PartyStorage,2, FALSE),0)</f>
        <v>0</v>
      </c>
      <c r="B38" s="1152"/>
      <c r="C38" s="1144"/>
      <c r="D38" s="1153"/>
      <c r="E38" s="1143" t="str">
        <f t="shared" si="1"/>
        <v/>
      </c>
      <c r="F38" s="1144"/>
      <c r="G38" s="1154"/>
      <c r="H38" s="1146"/>
      <c r="I38" s="1147"/>
      <c r="M38" s="1148"/>
      <c r="N38" s="553">
        <f>IFERROR(VLOOKUP(G38,Ch7_Storage,2, FALSE),0)</f>
        <v>0</v>
      </c>
    </row>
    <row r="39" ht="18.75" customHeight="1">
      <c r="A39" s="373">
        <f>IFERROR(VLOOKUP(H39,PartyStorage,2, FALSE),0)</f>
        <v>0</v>
      </c>
      <c r="B39" s="1149"/>
      <c r="C39" s="1137"/>
      <c r="D39" s="1150"/>
      <c r="E39" s="1136" t="str">
        <f t="shared" si="1"/>
        <v/>
      </c>
      <c r="F39" s="1137"/>
      <c r="G39" s="1151"/>
      <c r="H39" s="1138"/>
      <c r="I39" s="1139"/>
      <c r="M39" s="378"/>
      <c r="N39" s="553">
        <f>IFERROR(VLOOKUP(G39,Ch7_Storage,2, FALSE),0)</f>
        <v>0</v>
      </c>
    </row>
    <row r="40" ht="18.75" customHeight="1">
      <c r="A40" s="373">
        <f>IFERROR(VLOOKUP(H40,PartyStorage,2, FALSE),0)</f>
        <v>0</v>
      </c>
      <c r="B40" s="1152"/>
      <c r="C40" s="1144"/>
      <c r="D40" s="1153"/>
      <c r="E40" s="1143" t="str">
        <f t="shared" si="1"/>
        <v/>
      </c>
      <c r="F40" s="1144"/>
      <c r="G40" s="1154"/>
      <c r="H40" s="1146"/>
      <c r="I40" s="1147"/>
      <c r="M40" s="1148"/>
      <c r="N40" s="553">
        <f>IFERROR(VLOOKUP(G40,Ch7_Storage,2, FALSE),0)</f>
        <v>0</v>
      </c>
    </row>
    <row r="41" ht="18.75" customHeight="1">
      <c r="A41" s="373">
        <f>IFERROR(VLOOKUP(H41,PartyStorage,2, FALSE),0)</f>
        <v>0</v>
      </c>
      <c r="B41" s="1149"/>
      <c r="C41" s="1137"/>
      <c r="D41" s="1150"/>
      <c r="E41" s="1136" t="str">
        <f t="shared" si="1"/>
        <v/>
      </c>
      <c r="F41" s="1137"/>
      <c r="G41" s="1151"/>
      <c r="H41" s="1138"/>
      <c r="I41" s="1139"/>
      <c r="M41" s="378"/>
      <c r="N41" s="553">
        <f>IFERROR(VLOOKUP(G41,Ch7_Storage,2, FALSE),0)</f>
        <v>0</v>
      </c>
    </row>
    <row r="42" ht="18.75" customHeight="1">
      <c r="A42" s="373">
        <f>IFERROR(VLOOKUP(H42,PartyStorage,2, FALSE),0)</f>
        <v>0</v>
      </c>
      <c r="B42" s="1152"/>
      <c r="C42" s="1144"/>
      <c r="D42" s="1153"/>
      <c r="E42" s="1143" t="str">
        <f t="shared" si="1"/>
        <v/>
      </c>
      <c r="F42" s="1144"/>
      <c r="G42" s="1154"/>
      <c r="H42" s="1146"/>
      <c r="I42" s="1147"/>
      <c r="M42" s="1148"/>
      <c r="N42" s="553">
        <f>IFERROR(VLOOKUP(G42,Ch7_Storage,2, FALSE),0)</f>
        <v>0</v>
      </c>
    </row>
    <row r="43" ht="18.75" customHeight="1">
      <c r="A43" s="373">
        <f>IFERROR(VLOOKUP(H43,PartyStorage,2, FALSE),0)</f>
        <v>0</v>
      </c>
      <c r="B43" s="1149"/>
      <c r="C43" s="1137"/>
      <c r="D43" s="1150"/>
      <c r="E43" s="1136" t="str">
        <f t="shared" si="1"/>
        <v/>
      </c>
      <c r="F43" s="1137"/>
      <c r="G43" s="1151"/>
      <c r="H43" s="1138"/>
      <c r="I43" s="1139"/>
      <c r="M43" s="378"/>
      <c r="N43" s="553">
        <f>IFERROR(VLOOKUP(G43,Ch7_Storage,2, FALSE),0)</f>
        <v>0</v>
      </c>
    </row>
    <row r="44" ht="18.75" customHeight="1">
      <c r="A44" s="373">
        <f>IFERROR(VLOOKUP(H44,PartyStorage,2, FALSE),0)</f>
        <v>0</v>
      </c>
      <c r="B44" s="1152"/>
      <c r="C44" s="1144"/>
      <c r="D44" s="1153"/>
      <c r="E44" s="1143" t="str">
        <f t="shared" si="1"/>
        <v/>
      </c>
      <c r="F44" s="1144"/>
      <c r="G44" s="1154"/>
      <c r="H44" s="1146"/>
      <c r="I44" s="1147"/>
      <c r="M44" s="1148"/>
      <c r="N44" s="553">
        <f>IFERROR(VLOOKUP(G44,Ch7_Storage,2, FALSE),0)</f>
        <v>0</v>
      </c>
    </row>
    <row r="45" ht="18.75" customHeight="1">
      <c r="A45" s="373">
        <f>IFERROR(VLOOKUP(H45,PartyStorage,2, FALSE),0)</f>
        <v>0</v>
      </c>
      <c r="B45" s="1149"/>
      <c r="C45" s="1137"/>
      <c r="D45" s="1150"/>
      <c r="E45" s="1136" t="str">
        <f t="shared" si="1"/>
        <v/>
      </c>
      <c r="F45" s="1137"/>
      <c r="G45" s="1151"/>
      <c r="H45" s="1138"/>
      <c r="I45" s="1139"/>
      <c r="M45" s="378"/>
      <c r="N45" s="553">
        <f>IFERROR(VLOOKUP(G45,Ch7_Storage,2, FALSE),0)</f>
        <v>0</v>
      </c>
    </row>
    <row r="46" ht="18.75" customHeight="1">
      <c r="A46" s="373">
        <f>IFERROR(VLOOKUP(H46,PartyStorage,2, FALSE),0)</f>
        <v>0</v>
      </c>
      <c r="B46" s="1152"/>
      <c r="C46" s="1144"/>
      <c r="D46" s="1153"/>
      <c r="E46" s="1143" t="str">
        <f t="shared" si="1"/>
        <v/>
      </c>
      <c r="F46" s="1144"/>
      <c r="G46" s="1154"/>
      <c r="H46" s="1146"/>
      <c r="I46" s="1147"/>
      <c r="M46" s="1148"/>
      <c r="N46" s="553">
        <f>IFERROR(VLOOKUP(G46,Ch7_Storage,2, FALSE),0)</f>
        <v>0</v>
      </c>
    </row>
    <row r="47" ht="18.75" customHeight="1">
      <c r="A47" s="373">
        <f>IFERROR(VLOOKUP(H47,PartyStorage,2, FALSE),0)</f>
        <v>0</v>
      </c>
      <c r="B47" s="1149"/>
      <c r="C47" s="1137"/>
      <c r="D47" s="1150"/>
      <c r="E47" s="1136" t="str">
        <f t="shared" si="1"/>
        <v/>
      </c>
      <c r="F47" s="1137"/>
      <c r="G47" s="1151"/>
      <c r="H47" s="1138"/>
      <c r="I47" s="1139"/>
      <c r="M47" s="378"/>
      <c r="N47" s="553">
        <f>IFERROR(VLOOKUP(G47,Ch7_Storage,2, FALSE),0)</f>
        <v>0</v>
      </c>
    </row>
    <row r="48" ht="18.75" customHeight="1">
      <c r="A48" s="373">
        <f>IFERROR(VLOOKUP(H48,PartyStorage,2, FALSE),0)</f>
        <v>0</v>
      </c>
      <c r="B48" s="1152"/>
      <c r="C48" s="1144"/>
      <c r="D48" s="1153"/>
      <c r="E48" s="1143" t="str">
        <f t="shared" si="1"/>
        <v/>
      </c>
      <c r="F48" s="1144"/>
      <c r="G48" s="1154"/>
      <c r="H48" s="1146"/>
      <c r="I48" s="1147"/>
      <c r="M48" s="1148"/>
      <c r="N48" s="553">
        <f>IFERROR(VLOOKUP(G48,Ch7_Storage,2, FALSE),0)</f>
        <v>0</v>
      </c>
    </row>
    <row r="49" ht="18.75" customHeight="1">
      <c r="A49" s="373">
        <f>IFERROR(VLOOKUP(H49,PartyStorage,2, FALSE),0)</f>
        <v>0</v>
      </c>
      <c r="B49" s="1149"/>
      <c r="C49" s="1137"/>
      <c r="D49" s="1150"/>
      <c r="E49" s="1136" t="str">
        <f t="shared" si="1"/>
        <v/>
      </c>
      <c r="F49" s="1137"/>
      <c r="G49" s="1151"/>
      <c r="H49" s="1138"/>
      <c r="I49" s="1139"/>
      <c r="M49" s="378"/>
      <c r="N49" s="553">
        <f>IFERROR(VLOOKUP(G49,Ch7_Storage,2, FALSE),0)</f>
        <v>0</v>
      </c>
    </row>
    <row r="50" ht="18.75" customHeight="1">
      <c r="A50" s="373">
        <f>IFERROR(VLOOKUP(H50,PartyStorage,2, FALSE),0)</f>
        <v>0</v>
      </c>
      <c r="B50" s="1152"/>
      <c r="C50" s="1144"/>
      <c r="D50" s="1153"/>
      <c r="E50" s="1143" t="str">
        <f t="shared" si="1"/>
        <v/>
      </c>
      <c r="F50" s="1144"/>
      <c r="G50" s="1154"/>
      <c r="H50" s="1146"/>
      <c r="I50" s="1147"/>
      <c r="M50" s="1148"/>
      <c r="N50" s="553">
        <f>IFERROR(VLOOKUP(G50,Ch7_Storage,2, FALSE),0)</f>
        <v>0</v>
      </c>
    </row>
    <row r="51" ht="18.75" customHeight="1">
      <c r="A51" s="373">
        <f>IFERROR(VLOOKUP(H51,PartyStorage,2, FALSE),0)</f>
        <v>0</v>
      </c>
      <c r="B51" s="1149"/>
      <c r="C51" s="1137"/>
      <c r="D51" s="1150"/>
      <c r="E51" s="1136" t="str">
        <f t="shared" si="1"/>
        <v/>
      </c>
      <c r="F51" s="1137"/>
      <c r="G51" s="1151"/>
      <c r="H51" s="1138"/>
      <c r="I51" s="1139"/>
      <c r="M51" s="378"/>
      <c r="N51" s="553">
        <f>IFERROR(VLOOKUP(G51,Ch7_Storage,2, FALSE),0)</f>
        <v>0</v>
      </c>
    </row>
    <row r="52" ht="18.75" customHeight="1">
      <c r="A52" s="373">
        <f>IFERROR(VLOOKUP(H52,PartyStorage,2, FALSE),0)</f>
        <v>0</v>
      </c>
      <c r="B52" s="1152"/>
      <c r="C52" s="1144"/>
      <c r="D52" s="1153"/>
      <c r="E52" s="1143" t="str">
        <f t="shared" si="1"/>
        <v/>
      </c>
      <c r="F52" s="1144"/>
      <c r="G52" s="1154"/>
      <c r="H52" s="1146"/>
      <c r="I52" s="1147"/>
      <c r="M52" s="1148"/>
      <c r="N52" s="553">
        <f>IFERROR(VLOOKUP(G52,Ch7_Storage,2, FALSE),0)</f>
        <v>0</v>
      </c>
    </row>
    <row r="53" ht="18.75" customHeight="1">
      <c r="A53" s="373">
        <f>IFERROR(VLOOKUP(H53,PartyStorage,2, FALSE),0)</f>
        <v>0</v>
      </c>
      <c r="B53" s="1149"/>
      <c r="C53" s="1137"/>
      <c r="D53" s="1150"/>
      <c r="E53" s="1136" t="str">
        <f t="shared" si="1"/>
        <v/>
      </c>
      <c r="F53" s="1137"/>
      <c r="G53" s="1151"/>
      <c r="H53" s="1138"/>
      <c r="I53" s="1139"/>
      <c r="M53" s="378"/>
      <c r="N53" s="553">
        <f>IFERROR(VLOOKUP(G53,Ch7_Storage,2, FALSE),0)</f>
        <v>0</v>
      </c>
    </row>
    <row r="54" ht="18.75" customHeight="1">
      <c r="A54" s="373">
        <f>IFERROR(VLOOKUP(H54,PartyStorage,2, FALSE),0)</f>
        <v>0</v>
      </c>
      <c r="B54" s="1152"/>
      <c r="C54" s="1144"/>
      <c r="D54" s="1153"/>
      <c r="E54" s="1143" t="str">
        <f t="shared" si="1"/>
        <v/>
      </c>
      <c r="F54" s="1144"/>
      <c r="G54" s="1154"/>
      <c r="H54" s="1146"/>
      <c r="I54" s="1147"/>
      <c r="M54" s="1148"/>
      <c r="N54" s="553">
        <f>IFERROR(VLOOKUP(G54,Ch7_Storage,2, FALSE),0)</f>
        <v>0</v>
      </c>
    </row>
    <row r="55" ht="18.75" customHeight="1">
      <c r="A55" s="373">
        <f>IFERROR(VLOOKUP(H55,PartyStorage,2, FALSE),0)</f>
        <v>0</v>
      </c>
      <c r="B55" s="1149"/>
      <c r="C55" s="1137"/>
      <c r="D55" s="1150"/>
      <c r="E55" s="1136" t="str">
        <f t="shared" si="1"/>
        <v/>
      </c>
      <c r="F55" s="1137"/>
      <c r="G55" s="1151"/>
      <c r="H55" s="1138"/>
      <c r="I55" s="1139"/>
      <c r="M55" s="378"/>
      <c r="N55" s="553">
        <f>IFERROR(VLOOKUP(G55,Ch7_Storage,2, FALSE),0)</f>
        <v>0</v>
      </c>
    </row>
    <row r="56" ht="18.75" customHeight="1">
      <c r="A56" s="373">
        <f>IFERROR(VLOOKUP(H56,PartyStorage,2, FALSE),0)</f>
        <v>0</v>
      </c>
      <c r="B56" s="1152"/>
      <c r="C56" s="1144"/>
      <c r="D56" s="1153"/>
      <c r="E56" s="1143" t="str">
        <f t="shared" si="1"/>
        <v/>
      </c>
      <c r="F56" s="1144"/>
      <c r="G56" s="1154"/>
      <c r="H56" s="1146"/>
      <c r="I56" s="1147"/>
      <c r="M56" s="1148"/>
      <c r="N56" s="553">
        <f>IFERROR(VLOOKUP(G56,Ch7_Storage,2, FALSE),0)</f>
        <v>0</v>
      </c>
    </row>
    <row r="57" ht="18.75" customHeight="1">
      <c r="A57" s="373">
        <f>IFERROR(VLOOKUP(H57,PartyStorage,2, FALSE),0)</f>
        <v>0</v>
      </c>
      <c r="B57" s="1149"/>
      <c r="C57" s="1137"/>
      <c r="D57" s="1150"/>
      <c r="E57" s="1136" t="str">
        <f t="shared" si="1"/>
        <v/>
      </c>
      <c r="F57" s="1137"/>
      <c r="G57" s="1151"/>
      <c r="H57" s="1138"/>
      <c r="I57" s="1139"/>
      <c r="M57" s="378"/>
      <c r="N57" s="553">
        <f>IFERROR(VLOOKUP(G57,Ch7_Storage,2, FALSE),0)</f>
        <v>0</v>
      </c>
    </row>
    <row r="58" ht="18.75" customHeight="1">
      <c r="A58" s="373">
        <f>IFERROR(VLOOKUP(H58,PartyStorage,2, FALSE),0)</f>
        <v>0</v>
      </c>
      <c r="B58" s="1152"/>
      <c r="C58" s="1144"/>
      <c r="D58" s="1153"/>
      <c r="E58" s="1143" t="str">
        <f t="shared" si="1"/>
        <v/>
      </c>
      <c r="F58" s="1144"/>
      <c r="G58" s="1154"/>
      <c r="H58" s="1146"/>
      <c r="I58" s="1147"/>
      <c r="M58" s="1148"/>
      <c r="N58" s="553">
        <f>IFERROR(VLOOKUP(G58,Ch7_Storage,2, FALSE),0)</f>
        <v>0</v>
      </c>
    </row>
    <row r="59" ht="18.75" customHeight="1">
      <c r="A59" s="373">
        <f>IFERROR(VLOOKUP(H59,PartyStorage,2, FALSE),0)</f>
        <v>0</v>
      </c>
      <c r="B59" s="1149"/>
      <c r="C59" s="1137"/>
      <c r="D59" s="1150"/>
      <c r="E59" s="1136" t="str">
        <f t="shared" si="1"/>
        <v/>
      </c>
      <c r="F59" s="1137"/>
      <c r="G59" s="1151"/>
      <c r="H59" s="1138"/>
      <c r="I59" s="1139"/>
      <c r="M59" s="378"/>
      <c r="N59" s="553">
        <f>IFERROR(VLOOKUP(G59,Ch7_Storage,2, FALSE),0)</f>
        <v>0</v>
      </c>
    </row>
    <row r="60" ht="18.75" customHeight="1">
      <c r="A60" s="373">
        <f>IFERROR(VLOOKUP(H60,PartyStorage,2, FALSE),0)</f>
        <v>0</v>
      </c>
      <c r="B60" s="1152"/>
      <c r="C60" s="1144"/>
      <c r="D60" s="1153"/>
      <c r="E60" s="1143" t="str">
        <f t="shared" si="1"/>
        <v/>
      </c>
      <c r="F60" s="1144"/>
      <c r="G60" s="1154"/>
      <c r="H60" s="1146"/>
      <c r="I60" s="1147"/>
      <c r="M60" s="1148"/>
      <c r="N60" s="553">
        <f>IFERROR(VLOOKUP(G60,Ch7_Storage,2, FALSE),0)</f>
        <v>0</v>
      </c>
    </row>
    <row r="61" ht="18.75" customHeight="1">
      <c r="A61" s="373">
        <f>IFERROR(VLOOKUP(H61,PartyStorage,2, FALSE),0)</f>
        <v>0</v>
      </c>
      <c r="B61" s="1149"/>
      <c r="C61" s="1137"/>
      <c r="D61" s="1150"/>
      <c r="E61" s="1136" t="str">
        <f t="shared" si="1"/>
        <v/>
      </c>
      <c r="F61" s="1137"/>
      <c r="G61" s="1151"/>
      <c r="H61" s="1138"/>
      <c r="I61" s="1139"/>
      <c r="M61" s="378"/>
      <c r="N61" s="553">
        <f>IFERROR(VLOOKUP(G61,Ch7_Storage,2, FALSE),0)</f>
        <v>0</v>
      </c>
    </row>
    <row r="62" ht="18.75" customHeight="1">
      <c r="A62" s="373">
        <f>IFERROR(VLOOKUP(H62,PartyStorage,2, FALSE),0)</f>
        <v>0</v>
      </c>
      <c r="B62" s="1152"/>
      <c r="C62" s="1144"/>
      <c r="D62" s="1153"/>
      <c r="E62" s="1143" t="str">
        <f t="shared" si="1"/>
        <v/>
      </c>
      <c r="F62" s="1144"/>
      <c r="G62" s="1154"/>
      <c r="H62" s="1146"/>
      <c r="I62" s="1147"/>
      <c r="M62" s="1148"/>
      <c r="N62" s="553">
        <f>IFERROR(VLOOKUP(G62,Ch7_Storage,2, FALSE),0)</f>
        <v>0</v>
      </c>
    </row>
    <row r="63" ht="18.75" customHeight="1">
      <c r="A63" s="373">
        <f>IFERROR(VLOOKUP(H63,PartyStorage,2, FALSE),0)</f>
        <v>0</v>
      </c>
      <c r="B63" s="1149"/>
      <c r="C63" s="1137"/>
      <c r="D63" s="1150"/>
      <c r="E63" s="1136" t="str">
        <f t="shared" si="1"/>
        <v/>
      </c>
      <c r="F63" s="1137"/>
      <c r="G63" s="1151"/>
      <c r="H63" s="1138"/>
      <c r="I63" s="1139"/>
      <c r="M63" s="378"/>
      <c r="N63" s="553">
        <f>IFERROR(VLOOKUP(G63,Ch7_Storage,2, FALSE),0)</f>
        <v>0</v>
      </c>
    </row>
    <row r="64" ht="18.75" customHeight="1">
      <c r="A64" s="373">
        <f>IFERROR(VLOOKUP(H64,PartyStorage,2, FALSE),0)</f>
        <v>0</v>
      </c>
      <c r="B64" s="1152"/>
      <c r="C64" s="1144"/>
      <c r="D64" s="1153"/>
      <c r="E64" s="1143" t="str">
        <f t="shared" si="1"/>
        <v/>
      </c>
      <c r="F64" s="1144"/>
      <c r="G64" s="1154"/>
      <c r="H64" s="1146"/>
      <c r="I64" s="1147"/>
      <c r="M64" s="1148"/>
      <c r="N64" s="553">
        <f>IFERROR(VLOOKUP(G64,Ch7_Storage,2, FALSE),0)</f>
        <v>0</v>
      </c>
    </row>
    <row r="65" ht="18.75" customHeight="1">
      <c r="A65" s="373">
        <f>IFERROR(VLOOKUP(H65,PartyStorage,2, FALSE),0)</f>
        <v>0</v>
      </c>
      <c r="B65" s="1149"/>
      <c r="C65" s="1137"/>
      <c r="D65" s="1150"/>
      <c r="E65" s="1136" t="str">
        <f t="shared" si="1"/>
        <v/>
      </c>
      <c r="F65" s="1137"/>
      <c r="G65" s="1151"/>
      <c r="H65" s="1138"/>
      <c r="I65" s="1139"/>
      <c r="M65" s="378"/>
      <c r="N65" s="553">
        <f>IFERROR(VLOOKUP(G65,Ch7_Storage,2, FALSE),0)</f>
        <v>0</v>
      </c>
    </row>
    <row r="66" ht="18.75" customHeight="1">
      <c r="A66" s="373">
        <f>IFERROR(VLOOKUP(H66,PartyStorage,2, FALSE),0)</f>
        <v>0</v>
      </c>
      <c r="B66" s="1152"/>
      <c r="C66" s="1144"/>
      <c r="D66" s="1153"/>
      <c r="E66" s="1143" t="str">
        <f t="shared" si="1"/>
        <v/>
      </c>
      <c r="F66" s="1144"/>
      <c r="G66" s="1154"/>
      <c r="H66" s="1146"/>
      <c r="I66" s="1147"/>
      <c r="M66" s="1148"/>
      <c r="N66" s="553">
        <f>IFERROR(VLOOKUP(G66,Ch7_Storage,2, FALSE),0)</f>
        <v>0</v>
      </c>
    </row>
    <row r="67" ht="18.75" customHeight="1">
      <c r="A67" s="373">
        <f>IFERROR(VLOOKUP(H67,PartyStorage,2, FALSE),0)</f>
        <v>0</v>
      </c>
      <c r="B67" s="1149"/>
      <c r="C67" s="1137"/>
      <c r="D67" s="1150"/>
      <c r="E67" s="1136" t="str">
        <f t="shared" si="1"/>
        <v/>
      </c>
      <c r="F67" s="1137"/>
      <c r="G67" s="1151"/>
      <c r="H67" s="1138"/>
      <c r="I67" s="1139"/>
      <c r="M67" s="378"/>
      <c r="N67" s="553">
        <f>IFERROR(VLOOKUP(G67,Ch7_Storage,2, FALSE),0)</f>
        <v>0</v>
      </c>
    </row>
    <row r="68" ht="18.75" customHeight="1">
      <c r="A68" s="373">
        <f>IFERROR(VLOOKUP(H68,PartyStorage,2, FALSE),0)</f>
        <v>0</v>
      </c>
      <c r="B68" s="1152"/>
      <c r="C68" s="1144"/>
      <c r="D68" s="1153"/>
      <c r="E68" s="1143" t="str">
        <f t="shared" si="1"/>
        <v/>
      </c>
      <c r="F68" s="1144"/>
      <c r="G68" s="1154"/>
      <c r="H68" s="1146"/>
      <c r="I68" s="1147"/>
      <c r="M68" s="1148"/>
      <c r="N68" s="553">
        <f>IFERROR(VLOOKUP(G68,Ch7_Storage,2, FALSE),0)</f>
        <v>0</v>
      </c>
    </row>
    <row r="69" ht="18.75" customHeight="1">
      <c r="A69" s="373">
        <f>IFERROR(VLOOKUP(H69,PartyStorage,2, FALSE),0)</f>
        <v>0</v>
      </c>
      <c r="B69" s="1149"/>
      <c r="C69" s="1137"/>
      <c r="D69" s="1150"/>
      <c r="E69" s="1136" t="str">
        <f t="shared" si="1"/>
        <v/>
      </c>
      <c r="F69" s="1137"/>
      <c r="G69" s="1151"/>
      <c r="H69" s="1138"/>
      <c r="I69" s="1139"/>
      <c r="M69" s="378"/>
      <c r="N69" s="553">
        <f>IFERROR(VLOOKUP(G69,Ch7_Storage,2, FALSE),0)</f>
        <v>0</v>
      </c>
    </row>
    <row r="70" ht="18.75" customHeight="1">
      <c r="A70" s="373">
        <f>IFERROR(VLOOKUP(H70,PartyStorage,2, FALSE),0)</f>
        <v>0</v>
      </c>
      <c r="B70" s="1152"/>
      <c r="C70" s="1144"/>
      <c r="D70" s="1153"/>
      <c r="E70" s="1143" t="str">
        <f t="shared" si="1"/>
        <v/>
      </c>
      <c r="F70" s="1144"/>
      <c r="G70" s="1154"/>
      <c r="H70" s="1146"/>
      <c r="I70" s="1147"/>
      <c r="M70" s="1148"/>
      <c r="N70" s="553">
        <f>IFERROR(VLOOKUP(G70,Ch7_Storage,2, FALSE),0)</f>
        <v>0</v>
      </c>
    </row>
    <row r="71" ht="18.75" customHeight="1">
      <c r="A71" s="373">
        <f>IFERROR(VLOOKUP(H71,PartyStorage,2, FALSE),0)</f>
        <v>0</v>
      </c>
      <c r="B71" s="1149"/>
      <c r="C71" s="1137"/>
      <c r="D71" s="1150"/>
      <c r="E71" s="1136" t="str">
        <f t="shared" si="1"/>
        <v/>
      </c>
      <c r="F71" s="1137"/>
      <c r="G71" s="1151"/>
      <c r="H71" s="1138"/>
      <c r="I71" s="1139"/>
      <c r="M71" s="378"/>
      <c r="N71" s="553">
        <f>IFERROR(VLOOKUP(G71,Ch7_Storage,2, FALSE),0)</f>
        <v>0</v>
      </c>
    </row>
    <row r="72" ht="18.75" customHeight="1">
      <c r="A72" s="373">
        <f>IFERROR(VLOOKUP(H72,PartyStorage,2, FALSE),0)</f>
        <v>0</v>
      </c>
      <c r="B72" s="1152"/>
      <c r="C72" s="1144"/>
      <c r="D72" s="1153"/>
      <c r="E72" s="1143" t="str">
        <f t="shared" si="1"/>
        <v/>
      </c>
      <c r="F72" s="1144"/>
      <c r="G72" s="1154"/>
      <c r="H72" s="1146"/>
      <c r="I72" s="1147"/>
      <c r="M72" s="1148"/>
      <c r="N72" s="553">
        <f>IFERROR(VLOOKUP(G72,Ch7_Storage,2, FALSE),0)</f>
        <v>0</v>
      </c>
    </row>
    <row r="73" ht="18.75" customHeight="1">
      <c r="A73" s="373">
        <f>IFERROR(VLOOKUP(H73,PartyStorage,2, FALSE),0)</f>
        <v>0</v>
      </c>
      <c r="B73" s="1149"/>
      <c r="C73" s="1137"/>
      <c r="D73" s="1150"/>
      <c r="E73" s="1136" t="str">
        <f t="shared" si="1"/>
        <v/>
      </c>
      <c r="F73" s="1137"/>
      <c r="G73" s="1151"/>
      <c r="H73" s="1138"/>
      <c r="I73" s="1139"/>
      <c r="M73" s="378"/>
      <c r="N73" s="553">
        <f>IFERROR(VLOOKUP(G73,Ch7_Storage,2, FALSE),0)</f>
        <v>0</v>
      </c>
    </row>
    <row r="74" ht="18.75" customHeight="1">
      <c r="A74" s="373">
        <f>IFERROR(VLOOKUP(H74,PartyStorage,2, FALSE),0)</f>
        <v>0</v>
      </c>
      <c r="B74" s="1152"/>
      <c r="C74" s="1144"/>
      <c r="D74" s="1153"/>
      <c r="E74" s="1143" t="str">
        <f t="shared" si="1"/>
        <v/>
      </c>
      <c r="F74" s="1144"/>
      <c r="G74" s="1154"/>
      <c r="H74" s="1146"/>
      <c r="I74" s="1147"/>
      <c r="M74" s="1148"/>
      <c r="N74" s="553">
        <f>IFERROR(VLOOKUP(G74,Ch7_Storage,2, FALSE),0)</f>
        <v>0</v>
      </c>
    </row>
    <row r="75" ht="18.75" customHeight="1">
      <c r="A75" s="373">
        <f>IFERROR(VLOOKUP(H75,PartyStorage,2, FALSE),0)</f>
        <v>0</v>
      </c>
      <c r="B75" s="1149"/>
      <c r="C75" s="1137"/>
      <c r="D75" s="1150"/>
      <c r="E75" s="1136" t="str">
        <f t="shared" si="1"/>
        <v/>
      </c>
      <c r="F75" s="1137"/>
      <c r="G75" s="1151"/>
      <c r="H75" s="1138"/>
      <c r="I75" s="1139"/>
      <c r="M75" s="378"/>
      <c r="N75" s="553">
        <f>IFERROR(VLOOKUP(G75,Ch7_Storage,2, FALSE),0)</f>
        <v>0</v>
      </c>
    </row>
    <row r="76" ht="18.75" customHeight="1">
      <c r="A76" s="373">
        <f>IFERROR(VLOOKUP(H76,PartyStorage,2, FALSE),0)</f>
        <v>0</v>
      </c>
      <c r="B76" s="1152"/>
      <c r="C76" s="1144"/>
      <c r="D76" s="1153"/>
      <c r="E76" s="1143" t="str">
        <f t="shared" si="1"/>
        <v/>
      </c>
      <c r="F76" s="1144"/>
      <c r="G76" s="1154"/>
      <c r="H76" s="1146"/>
      <c r="I76" s="1147"/>
      <c r="M76" s="1148"/>
      <c r="N76" s="553">
        <f>IFERROR(VLOOKUP(G76,Ch7_Storage,2, FALSE),0)</f>
        <v>0</v>
      </c>
    </row>
    <row r="77" ht="18.75" customHeight="1">
      <c r="A77" s="373">
        <f>IFERROR(VLOOKUP(H77,PartyStorage,2, FALSE),0)</f>
        <v>0</v>
      </c>
      <c r="B77" s="1149"/>
      <c r="C77" s="1137"/>
      <c r="D77" s="1150"/>
      <c r="E77" s="1136" t="str">
        <f t="shared" si="1"/>
        <v/>
      </c>
      <c r="F77" s="1137"/>
      <c r="G77" s="1151"/>
      <c r="H77" s="1138"/>
      <c r="I77" s="1139"/>
      <c r="M77" s="378"/>
      <c r="N77" s="553">
        <f>IFERROR(VLOOKUP(G77,Ch7_Storage,2, FALSE),0)</f>
        <v>0</v>
      </c>
    </row>
    <row r="78" ht="18.75" customHeight="1">
      <c r="A78" s="373">
        <f>IFERROR(VLOOKUP(H78,PartyStorage,2, FALSE),0)</f>
        <v>0</v>
      </c>
      <c r="B78" s="1152"/>
      <c r="C78" s="1144"/>
      <c r="D78" s="1153"/>
      <c r="E78" s="1143" t="str">
        <f t="shared" si="1"/>
        <v/>
      </c>
      <c r="F78" s="1144"/>
      <c r="G78" s="1154"/>
      <c r="H78" s="1146"/>
      <c r="I78" s="1147"/>
      <c r="M78" s="1148"/>
      <c r="N78" s="553">
        <f>IFERROR(VLOOKUP(G78,Ch7_Storage,2, FALSE),0)</f>
        <v>0</v>
      </c>
    </row>
    <row r="79" ht="18.75" customHeight="1">
      <c r="A79" s="373">
        <f>IFERROR(VLOOKUP(H79,PartyStorage,2, FALSE),0)</f>
        <v>0</v>
      </c>
      <c r="B79" s="1149"/>
      <c r="C79" s="1137"/>
      <c r="D79" s="1150"/>
      <c r="E79" s="1136" t="str">
        <f t="shared" si="1"/>
        <v/>
      </c>
      <c r="F79" s="1137"/>
      <c r="G79" s="1151"/>
      <c r="H79" s="1138"/>
      <c r="I79" s="1139"/>
      <c r="M79" s="378"/>
      <c r="N79" s="553">
        <f>IFERROR(VLOOKUP(G79,Ch7_Storage,2, FALSE),0)</f>
        <v>0</v>
      </c>
    </row>
    <row r="80" ht="18.75" customHeight="1">
      <c r="A80" s="373">
        <f>IFERROR(VLOOKUP(H80,PartyStorage,2, FALSE),0)</f>
        <v>0</v>
      </c>
      <c r="B80" s="1152"/>
      <c r="C80" s="1144"/>
      <c r="D80" s="1153"/>
      <c r="E80" s="1143" t="str">
        <f t="shared" si="1"/>
        <v/>
      </c>
      <c r="F80" s="1144"/>
      <c r="G80" s="1154"/>
      <c r="H80" s="1146"/>
      <c r="I80" s="1147"/>
      <c r="M80" s="1148"/>
      <c r="N80" s="553">
        <f>IFERROR(VLOOKUP(G80,Ch7_Storage,2, FALSE),0)</f>
        <v>0</v>
      </c>
    </row>
    <row r="81" ht="18.75" customHeight="1">
      <c r="A81" s="373">
        <f>IFERROR(VLOOKUP(H81,PartyStorage,2, FALSE),0)</f>
        <v>0</v>
      </c>
      <c r="B81" s="1149"/>
      <c r="C81" s="1137"/>
      <c r="D81" s="1150"/>
      <c r="E81" s="1136" t="str">
        <f t="shared" si="1"/>
        <v/>
      </c>
      <c r="F81" s="1137"/>
      <c r="G81" s="1151"/>
      <c r="H81" s="1138"/>
      <c r="I81" s="1139"/>
      <c r="M81" s="378"/>
      <c r="N81" s="553">
        <f>IFERROR(VLOOKUP(G81,Ch7_Storage,2, FALSE),0)</f>
        <v>0</v>
      </c>
    </row>
    <row r="82" ht="18.75" customHeight="1">
      <c r="A82" s="373">
        <f>IFERROR(VLOOKUP(H82,PartyStorage,2, FALSE),0)</f>
        <v>0</v>
      </c>
      <c r="B82" s="1152"/>
      <c r="C82" s="1144"/>
      <c r="D82" s="1153"/>
      <c r="E82" s="1143" t="str">
        <f t="shared" si="1"/>
        <v/>
      </c>
      <c r="F82" s="1144"/>
      <c r="G82" s="1154"/>
      <c r="H82" s="1146"/>
      <c r="I82" s="1147"/>
      <c r="M82" s="1148"/>
      <c r="N82" s="553">
        <f>IFERROR(VLOOKUP(G82,Ch7_Storage,2, FALSE),0)</f>
        <v>0</v>
      </c>
    </row>
    <row r="83" ht="18.75" customHeight="1">
      <c r="A83" s="373">
        <f>IFERROR(VLOOKUP(H83,PartyStorage,2, FALSE),0)</f>
        <v>0</v>
      </c>
      <c r="B83" s="1149"/>
      <c r="C83" s="1137"/>
      <c r="D83" s="1150"/>
      <c r="E83" s="1136" t="str">
        <f t="shared" si="1"/>
        <v/>
      </c>
      <c r="F83" s="1137"/>
      <c r="G83" s="1151"/>
      <c r="H83" s="1138"/>
      <c r="I83" s="1139"/>
      <c r="M83" s="378"/>
      <c r="N83" s="553">
        <f>IFERROR(VLOOKUP(G83,Ch7_Storage,2, FALSE),0)</f>
        <v>0</v>
      </c>
    </row>
    <row r="84" ht="18.75" customHeight="1">
      <c r="A84" s="373">
        <f>IFERROR(VLOOKUP(H84,PartyStorage,2, FALSE),0)</f>
        <v>0</v>
      </c>
      <c r="B84" s="1152"/>
      <c r="C84" s="1144"/>
      <c r="D84" s="1153"/>
      <c r="E84" s="1143" t="str">
        <f t="shared" si="1"/>
        <v/>
      </c>
      <c r="F84" s="1144"/>
      <c r="G84" s="1154"/>
      <c r="H84" s="1146"/>
      <c r="I84" s="1147"/>
      <c r="M84" s="1148"/>
      <c r="N84" s="553">
        <f>IFERROR(VLOOKUP(G84,Ch7_Storage,2, FALSE),0)</f>
        <v>0</v>
      </c>
    </row>
    <row r="85" ht="18.75" customHeight="1">
      <c r="A85" s="373">
        <f>IFERROR(VLOOKUP(H85,PartyStorage,2, FALSE),0)</f>
        <v>0</v>
      </c>
      <c r="B85" s="1149"/>
      <c r="C85" s="1137"/>
      <c r="D85" s="1150"/>
      <c r="E85" s="1136" t="str">
        <f t="shared" si="1"/>
        <v/>
      </c>
      <c r="F85" s="1137"/>
      <c r="G85" s="1151"/>
      <c r="H85" s="1138"/>
      <c r="I85" s="1139"/>
      <c r="M85" s="378"/>
      <c r="N85" s="553">
        <f>IFERROR(VLOOKUP(G85,Ch7_Storage,2, FALSE),0)</f>
        <v>0</v>
      </c>
    </row>
    <row r="86" ht="18.75" customHeight="1">
      <c r="A86" s="373">
        <f>IFERROR(VLOOKUP(H86,PartyStorage,2, FALSE),0)</f>
        <v>0</v>
      </c>
      <c r="B86" s="1152"/>
      <c r="C86" s="1144"/>
      <c r="D86" s="1153"/>
      <c r="E86" s="1143" t="str">
        <f t="shared" si="1"/>
        <v/>
      </c>
      <c r="F86" s="1144"/>
      <c r="G86" s="1154"/>
      <c r="H86" s="1146"/>
      <c r="I86" s="1147"/>
      <c r="M86" s="1148"/>
      <c r="N86" s="553">
        <f>IFERROR(VLOOKUP(G86,Ch7_Storage,2, FALSE),0)</f>
        <v>0</v>
      </c>
    </row>
    <row r="87" ht="18.75" customHeight="1">
      <c r="A87" s="373">
        <f>IFERROR(VLOOKUP(H87,PartyStorage,2, FALSE),0)</f>
        <v>0</v>
      </c>
      <c r="B87" s="1149"/>
      <c r="C87" s="1137"/>
      <c r="D87" s="1150"/>
      <c r="E87" s="1136" t="str">
        <f t="shared" si="1"/>
        <v/>
      </c>
      <c r="F87" s="1137"/>
      <c r="G87" s="1151"/>
      <c r="H87" s="1138"/>
      <c r="I87" s="1139"/>
      <c r="M87" s="378"/>
      <c r="N87" s="553">
        <f>IFERROR(VLOOKUP(G87,Ch7_Storage,2, FALSE),0)</f>
        <v>0</v>
      </c>
    </row>
    <row r="88" ht="18.75" customHeight="1">
      <c r="A88" s="373">
        <f>IFERROR(VLOOKUP(H88,PartyStorage,2, FALSE),0)</f>
        <v>0</v>
      </c>
      <c r="B88" s="1152"/>
      <c r="C88" s="1144"/>
      <c r="D88" s="1153"/>
      <c r="E88" s="1143" t="str">
        <f t="shared" si="1"/>
        <v/>
      </c>
      <c r="F88" s="1144"/>
      <c r="G88" s="1154"/>
      <c r="H88" s="1146"/>
      <c r="I88" s="1147"/>
      <c r="M88" s="1148"/>
      <c r="N88" s="553">
        <f>IFERROR(VLOOKUP(G88,Ch7_Storage,2, FALSE),0)</f>
        <v>0</v>
      </c>
    </row>
    <row r="89" ht="18.75" customHeight="1">
      <c r="A89" s="373">
        <f>IFERROR(VLOOKUP(H89,PartyStorage,2, FALSE),0)</f>
        <v>0</v>
      </c>
      <c r="B89" s="1149"/>
      <c r="C89" s="1137"/>
      <c r="D89" s="1150"/>
      <c r="E89" s="1136" t="str">
        <f t="shared" si="1"/>
        <v/>
      </c>
      <c r="F89" s="1137"/>
      <c r="G89" s="1151"/>
      <c r="H89" s="1138"/>
      <c r="I89" s="1139"/>
      <c r="M89" s="378"/>
      <c r="N89" s="553">
        <f>IFERROR(VLOOKUP(G89,Ch7_Storage,2, FALSE),0)</f>
        <v>0</v>
      </c>
    </row>
    <row r="90" ht="18.75" customHeight="1">
      <c r="A90" s="373">
        <f>IFERROR(VLOOKUP(H90,PartyStorage,2, FALSE),0)</f>
        <v>0</v>
      </c>
      <c r="B90" s="1152"/>
      <c r="C90" s="1144"/>
      <c r="D90" s="1153"/>
      <c r="E90" s="1143" t="str">
        <f t="shared" si="1"/>
        <v/>
      </c>
      <c r="F90" s="1144"/>
      <c r="G90" s="1154"/>
      <c r="H90" s="1146"/>
      <c r="I90" s="1147"/>
      <c r="M90" s="1148"/>
      <c r="N90" s="553">
        <f>IFERROR(VLOOKUP(G90,Ch7_Storage,2, FALSE),0)</f>
        <v>0</v>
      </c>
    </row>
    <row r="91" ht="18.75" customHeight="1">
      <c r="A91" s="373">
        <f>IFERROR(VLOOKUP(H91,PartyStorage,2, FALSE),0)</f>
        <v>0</v>
      </c>
      <c r="B91" s="1149"/>
      <c r="C91" s="1137"/>
      <c r="D91" s="1150"/>
      <c r="E91" s="1136" t="str">
        <f t="shared" si="1"/>
        <v/>
      </c>
      <c r="F91" s="1137"/>
      <c r="G91" s="1151"/>
      <c r="H91" s="1138"/>
      <c r="I91" s="1139"/>
      <c r="M91" s="378"/>
      <c r="N91" s="553">
        <f>IFERROR(VLOOKUP(G91,Ch7_Storage,2, FALSE),0)</f>
        <v>0</v>
      </c>
    </row>
    <row r="92" ht="18.75" customHeight="1">
      <c r="A92" s="373">
        <f>IFERROR(VLOOKUP(H92,PartyStorage,2, FALSE),0)</f>
        <v>0</v>
      </c>
      <c r="B92" s="1152"/>
      <c r="C92" s="1144"/>
      <c r="D92" s="1153"/>
      <c r="E92" s="1143" t="str">
        <f t="shared" si="1"/>
        <v/>
      </c>
      <c r="F92" s="1144"/>
      <c r="G92" s="1154"/>
      <c r="H92" s="1146"/>
      <c r="I92" s="1147"/>
      <c r="M92" s="1148"/>
      <c r="N92" s="553">
        <f>IFERROR(VLOOKUP(G92,Ch7_Storage,2, FALSE),0)</f>
        <v>0</v>
      </c>
    </row>
    <row r="93" ht="18.75" customHeight="1">
      <c r="A93" s="373">
        <f>IFERROR(VLOOKUP(H93,PartyStorage,2, FALSE),0)</f>
        <v>0</v>
      </c>
      <c r="B93" s="1149"/>
      <c r="C93" s="1137"/>
      <c r="D93" s="1150"/>
      <c r="E93" s="1136" t="str">
        <f t="shared" si="1"/>
        <v/>
      </c>
      <c r="F93" s="1137"/>
      <c r="G93" s="1151"/>
      <c r="H93" s="1138"/>
      <c r="I93" s="1139"/>
      <c r="M93" s="378"/>
      <c r="N93" s="553">
        <f>IFERROR(VLOOKUP(G93,Ch7_Storage,2, FALSE),0)</f>
        <v>0</v>
      </c>
    </row>
    <row r="94" ht="18.75" customHeight="1">
      <c r="A94" s="373">
        <f>IFERROR(VLOOKUP(H94,PartyStorage,2, FALSE),0)</f>
        <v>0</v>
      </c>
      <c r="B94" s="1152"/>
      <c r="C94" s="1144"/>
      <c r="D94" s="1153"/>
      <c r="E94" s="1143" t="str">
        <f t="shared" si="1"/>
        <v/>
      </c>
      <c r="F94" s="1144"/>
      <c r="G94" s="1154"/>
      <c r="H94" s="1146"/>
      <c r="I94" s="1147"/>
      <c r="M94" s="1148"/>
      <c r="N94" s="553">
        <f>IFERROR(VLOOKUP(G94,Ch7_Storage,2, FALSE),0)</f>
        <v>0</v>
      </c>
    </row>
    <row r="95" ht="18.75" customHeight="1">
      <c r="A95" s="373">
        <f>IFERROR(VLOOKUP(H95,PartyStorage,2, FALSE),0)</f>
        <v>0</v>
      </c>
      <c r="B95" s="1149"/>
      <c r="C95" s="1137"/>
      <c r="D95" s="1150"/>
      <c r="E95" s="1136" t="str">
        <f t="shared" si="1"/>
        <v/>
      </c>
      <c r="F95" s="1137"/>
      <c r="G95" s="1151"/>
      <c r="H95" s="1138"/>
      <c r="I95" s="1139"/>
      <c r="M95" s="378"/>
      <c r="N95" s="553">
        <f>IFERROR(VLOOKUP(G95,Ch7_Storage,2, FALSE),0)</f>
        <v>0</v>
      </c>
    </row>
    <row r="96" ht="18.75" customHeight="1">
      <c r="A96" s="373">
        <f>IFERROR(VLOOKUP(H96,PartyStorage,2, FALSE),0)</f>
        <v>0</v>
      </c>
      <c r="B96" s="1152"/>
      <c r="C96" s="1144"/>
      <c r="D96" s="1153"/>
      <c r="E96" s="1143" t="str">
        <f t="shared" si="1"/>
        <v/>
      </c>
      <c r="F96" s="1144"/>
      <c r="G96" s="1154"/>
      <c r="H96" s="1146"/>
      <c r="I96" s="1147"/>
      <c r="M96" s="1148"/>
      <c r="N96" s="553">
        <f>IFERROR(VLOOKUP(G96,Ch7_Storage,2, FALSE),0)</f>
        <v>0</v>
      </c>
    </row>
    <row r="97" ht="18.75" customHeight="1">
      <c r="A97" s="373">
        <f>IFERROR(VLOOKUP(H97,PartyStorage,2, FALSE),0)</f>
        <v>0</v>
      </c>
      <c r="B97" s="1149"/>
      <c r="C97" s="1137"/>
      <c r="D97" s="1150"/>
      <c r="E97" s="1136" t="str">
        <f t="shared" si="1"/>
        <v/>
      </c>
      <c r="F97" s="1137"/>
      <c r="G97" s="1151"/>
      <c r="H97" s="1138"/>
      <c r="I97" s="1139"/>
      <c r="M97" s="378"/>
      <c r="N97" s="553">
        <f>IFERROR(VLOOKUP(G97,Ch7_Storage,2, FALSE),0)</f>
        <v>0</v>
      </c>
    </row>
    <row r="98" ht="18.75" customHeight="1">
      <c r="A98" s="373">
        <f>IFERROR(VLOOKUP(H98,PartyStorage,2, FALSE),0)</f>
        <v>0</v>
      </c>
      <c r="B98" s="1152"/>
      <c r="C98" s="1144"/>
      <c r="D98" s="1153"/>
      <c r="E98" s="1143" t="str">
        <f t="shared" si="1"/>
        <v/>
      </c>
      <c r="F98" s="1144"/>
      <c r="G98" s="1154"/>
      <c r="H98" s="1146"/>
      <c r="I98" s="1147"/>
      <c r="M98" s="1148"/>
      <c r="N98" s="553">
        <f>IFERROR(VLOOKUP(G98,Ch7_Storage,2, FALSE),0)</f>
        <v>0</v>
      </c>
    </row>
    <row r="99" ht="18.75" customHeight="1">
      <c r="A99" s="373">
        <f>IFERROR(VLOOKUP(H99,PartyStorage,2, FALSE),0)</f>
        <v>0</v>
      </c>
      <c r="B99" s="1149"/>
      <c r="C99" s="1137"/>
      <c r="D99" s="1150"/>
      <c r="E99" s="1136" t="str">
        <f t="shared" si="1"/>
        <v/>
      </c>
      <c r="F99" s="1137"/>
      <c r="G99" s="1151"/>
      <c r="H99" s="1138"/>
      <c r="I99" s="1139"/>
      <c r="M99" s="378"/>
      <c r="N99" s="553">
        <f>IFERROR(VLOOKUP(G99,Ch7_Storage,2, FALSE),0)</f>
        <v>0</v>
      </c>
    </row>
    <row r="100" ht="18.75" customHeight="1">
      <c r="A100" s="373">
        <f>IFERROR(VLOOKUP(H100,PartyStorage,2, FALSE),0)</f>
        <v>0</v>
      </c>
      <c r="B100" s="1152"/>
      <c r="C100" s="1144"/>
      <c r="D100" s="1153"/>
      <c r="E100" s="1143" t="str">
        <f t="shared" si="1"/>
        <v/>
      </c>
      <c r="F100" s="1144"/>
      <c r="G100" s="1154"/>
      <c r="H100" s="1146"/>
      <c r="I100" s="1147"/>
      <c r="M100" s="1148"/>
      <c r="N100" s="553">
        <f>IFERROR(VLOOKUP(G100,Ch7_Storage,2, FALSE),0)</f>
        <v>0</v>
      </c>
    </row>
    <row r="101" ht="18.75" customHeight="1">
      <c r="A101" s="373">
        <f>IFERROR(VLOOKUP(H101,PartyStorage,2, FALSE),0)</f>
        <v>0</v>
      </c>
      <c r="B101" s="1149"/>
      <c r="C101" s="1137"/>
      <c r="D101" s="1150"/>
      <c r="E101" s="1136" t="str">
        <f t="shared" si="1"/>
        <v/>
      </c>
      <c r="F101" s="1137"/>
      <c r="G101" s="1151"/>
      <c r="H101" s="1138"/>
      <c r="I101" s="1139"/>
      <c r="M101" s="378"/>
      <c r="N101" s="553">
        <f>IFERROR(VLOOKUP(G101,Ch7_Storage,2, FALSE),0)</f>
        <v>0</v>
      </c>
    </row>
    <row r="102" ht="18.75" customHeight="1">
      <c r="A102" s="373">
        <f>IFERROR(VLOOKUP(H102,PartyStorage,2, FALSE),0)</f>
        <v>0</v>
      </c>
      <c r="B102" s="1152"/>
      <c r="C102" s="1144"/>
      <c r="D102" s="1153"/>
      <c r="E102" s="1143" t="str">
        <f t="shared" si="1"/>
        <v/>
      </c>
      <c r="F102" s="1144"/>
      <c r="G102" s="1154"/>
      <c r="H102" s="1146"/>
      <c r="I102" s="1147"/>
      <c r="M102" s="1148"/>
      <c r="N102" s="553">
        <f>IFERROR(VLOOKUP(G102,Ch7_Storage,2, FALSE),0)</f>
        <v>0</v>
      </c>
    </row>
    <row r="103" ht="18.75" customHeight="1">
      <c r="A103" s="373">
        <f>IFERROR(VLOOKUP(H103,PartyStorage,2, FALSE),0)</f>
        <v>0</v>
      </c>
      <c r="B103" s="1149"/>
      <c r="C103" s="1137"/>
      <c r="D103" s="1150"/>
      <c r="E103" s="1136" t="str">
        <f t="shared" si="1"/>
        <v/>
      </c>
      <c r="F103" s="1137"/>
      <c r="G103" s="1151"/>
      <c r="H103" s="1138"/>
      <c r="I103" s="1139"/>
      <c r="M103" s="378"/>
      <c r="N103" s="553">
        <f>IFERROR(VLOOKUP(G103,Ch7_Storage,2, FALSE),0)</f>
        <v>0</v>
      </c>
    </row>
    <row r="104" ht="18.75" customHeight="1">
      <c r="A104" s="373">
        <f>IFERROR(VLOOKUP(H104,PartyStorage,2, FALSE),0)</f>
        <v>0</v>
      </c>
      <c r="B104" s="1152"/>
      <c r="C104" s="1144"/>
      <c r="D104" s="1153"/>
      <c r="E104" s="1143" t="str">
        <f t="shared" si="1"/>
        <v/>
      </c>
      <c r="F104" s="1144"/>
      <c r="G104" s="1154"/>
      <c r="H104" s="1146"/>
      <c r="I104" s="1147"/>
      <c r="M104" s="1148"/>
      <c r="N104" s="553">
        <f>IFERROR(VLOOKUP(G104,Ch7_Storage,2, FALSE),0)</f>
        <v>0</v>
      </c>
    </row>
    <row r="105" ht="18.75" customHeight="1">
      <c r="A105" s="373">
        <f>IFERROR(VLOOKUP(H105,PartyStorage,2, FALSE),0)</f>
        <v>0</v>
      </c>
      <c r="B105" s="1149"/>
      <c r="C105" s="1137"/>
      <c r="D105" s="1150"/>
      <c r="E105" s="1136" t="str">
        <f t="shared" si="1"/>
        <v/>
      </c>
      <c r="F105" s="1137"/>
      <c r="G105" s="1151"/>
      <c r="H105" s="1138"/>
      <c r="I105" s="1139"/>
      <c r="M105" s="378"/>
      <c r="N105" s="553">
        <f>IFERROR(VLOOKUP(G105,Ch7_Storage,2, FALSE),0)</f>
        <v>0</v>
      </c>
    </row>
    <row r="106" ht="18.75" customHeight="1">
      <c r="A106" s="373">
        <f>IFERROR(VLOOKUP(H106,PartyStorage,2, FALSE),0)</f>
        <v>0</v>
      </c>
      <c r="B106" s="1152"/>
      <c r="C106" s="1144"/>
      <c r="D106" s="1153"/>
      <c r="E106" s="1143" t="str">
        <f t="shared" si="1"/>
        <v/>
      </c>
      <c r="F106" s="1144"/>
      <c r="G106" s="1154"/>
      <c r="H106" s="1146"/>
      <c r="I106" s="1147"/>
      <c r="M106" s="1148"/>
      <c r="N106" s="553">
        <f>IFERROR(VLOOKUP(G106,Ch7_Storage,2, FALSE),0)</f>
        <v>0</v>
      </c>
    </row>
    <row r="107" ht="18.75" customHeight="1">
      <c r="A107" s="373">
        <f>IFERROR(VLOOKUP(H107,PartyStorage,2, FALSE),0)</f>
        <v>0</v>
      </c>
      <c r="B107" s="1149"/>
      <c r="C107" s="1137"/>
      <c r="D107" s="1150"/>
      <c r="E107" s="1136" t="str">
        <f t="shared" si="1"/>
        <v/>
      </c>
      <c r="F107" s="1137"/>
      <c r="G107" s="1151"/>
      <c r="H107" s="1138"/>
      <c r="I107" s="1139"/>
      <c r="M107" s="378"/>
      <c r="N107" s="553">
        <f>IFERROR(VLOOKUP(G107,Ch7_Storage,2, FALSE),0)</f>
        <v>0</v>
      </c>
    </row>
    <row r="108" ht="18.75" customHeight="1">
      <c r="A108" s="373">
        <f>IFERROR(VLOOKUP(H108,PartyStorage,2, FALSE),0)</f>
        <v>0</v>
      </c>
      <c r="B108" s="1152"/>
      <c r="C108" s="1144"/>
      <c r="D108" s="1153"/>
      <c r="E108" s="1143" t="str">
        <f t="shared" si="1"/>
        <v/>
      </c>
      <c r="F108" s="1144"/>
      <c r="G108" s="1154"/>
      <c r="H108" s="1146"/>
      <c r="I108" s="1147"/>
      <c r="M108" s="1148"/>
      <c r="N108" s="553">
        <f>IFERROR(VLOOKUP(G108,Ch7_Storage,2, FALSE),0)</f>
        <v>0</v>
      </c>
    </row>
    <row r="109" ht="18.75" customHeight="1">
      <c r="A109" s="373">
        <f>IFERROR(VLOOKUP(H109,PartyStorage,2, FALSE),0)</f>
        <v>0</v>
      </c>
      <c r="B109" s="1149"/>
      <c r="C109" s="1137"/>
      <c r="D109" s="1150"/>
      <c r="E109" s="1136" t="str">
        <f t="shared" si="1"/>
        <v/>
      </c>
      <c r="F109" s="1137"/>
      <c r="G109" s="1151"/>
      <c r="H109" s="1138"/>
      <c r="I109" s="1139"/>
      <c r="M109" s="378"/>
      <c r="N109" s="553">
        <f>IFERROR(VLOOKUP(G109,Ch7_Storage,2, FALSE),0)</f>
        <v>0</v>
      </c>
    </row>
    <row r="110" ht="18.75" customHeight="1">
      <c r="A110" s="373">
        <f>IFERROR(VLOOKUP(H110,PartyStorage,2, FALSE),0)</f>
        <v>0</v>
      </c>
      <c r="B110" s="1152"/>
      <c r="C110" s="1144"/>
      <c r="D110" s="1153"/>
      <c r="E110" s="1143" t="str">
        <f t="shared" si="1"/>
        <v/>
      </c>
      <c r="F110" s="1144"/>
      <c r="G110" s="1154"/>
      <c r="H110" s="1146"/>
      <c r="I110" s="1147"/>
      <c r="M110" s="1148"/>
      <c r="N110" s="553">
        <f>IFERROR(VLOOKUP(G110,Ch7_Storage,2, FALSE),0)</f>
        <v>0</v>
      </c>
    </row>
    <row r="111" ht="18.75" customHeight="1">
      <c r="A111" s="373">
        <f>IFERROR(VLOOKUP(H111,PartyStorage,2, FALSE),0)</f>
        <v>0</v>
      </c>
      <c r="B111" s="1149"/>
      <c r="C111" s="1137"/>
      <c r="D111" s="1150"/>
      <c r="E111" s="1136" t="str">
        <f t="shared" si="1"/>
        <v/>
      </c>
      <c r="F111" s="1137"/>
      <c r="G111" s="1151"/>
      <c r="H111" s="1138"/>
      <c r="I111" s="1139"/>
      <c r="M111" s="378"/>
      <c r="N111" s="553">
        <f>IFERROR(VLOOKUP(G111,Ch7_Storage,2, FALSE),0)</f>
        <v>0</v>
      </c>
    </row>
    <row r="112" ht="18.75" customHeight="1">
      <c r="A112" s="373">
        <f>IFERROR(VLOOKUP(H112,PartyStorage,2, FALSE),0)</f>
        <v>0</v>
      </c>
      <c r="B112" s="1152"/>
      <c r="C112" s="1144"/>
      <c r="D112" s="1153"/>
      <c r="E112" s="1143" t="str">
        <f t="shared" si="1"/>
        <v/>
      </c>
      <c r="F112" s="1144"/>
      <c r="G112" s="1154"/>
      <c r="H112" s="1146"/>
      <c r="I112" s="1147"/>
      <c r="M112" s="1148"/>
      <c r="N112" s="553">
        <f>IFERROR(VLOOKUP(G112,Ch7_Storage,2, FALSE),0)</f>
        <v>0</v>
      </c>
    </row>
    <row r="113" ht="18.75" customHeight="1">
      <c r="A113" s="373">
        <f>IFERROR(VLOOKUP(H113,PartyStorage,2, FALSE),0)</f>
        <v>0</v>
      </c>
      <c r="B113" s="1149"/>
      <c r="C113" s="1137"/>
      <c r="D113" s="1150"/>
      <c r="E113" s="1136" t="str">
        <f t="shared" si="1"/>
        <v/>
      </c>
      <c r="F113" s="1137"/>
      <c r="G113" s="1151"/>
      <c r="H113" s="1138"/>
      <c r="I113" s="1139"/>
      <c r="M113" s="378"/>
      <c r="N113" s="553">
        <f>IFERROR(VLOOKUP(G113,Ch7_Storage,2, FALSE),0)</f>
        <v>0</v>
      </c>
    </row>
    <row r="114" ht="18.75" customHeight="1">
      <c r="A114" s="373">
        <f>IFERROR(VLOOKUP(H114,PartyStorage,2, FALSE),0)</f>
        <v>0</v>
      </c>
      <c r="B114" s="1152"/>
      <c r="C114" s="1144"/>
      <c r="D114" s="1153"/>
      <c r="E114" s="1143" t="str">
        <f t="shared" si="1"/>
        <v/>
      </c>
      <c r="F114" s="1144"/>
      <c r="G114" s="1154"/>
      <c r="H114" s="1146"/>
      <c r="I114" s="1147"/>
      <c r="M114" s="1148"/>
      <c r="N114" s="553">
        <f>IFERROR(VLOOKUP(G114,Ch7_Storage,2, FALSE),0)</f>
        <v>0</v>
      </c>
    </row>
    <row r="115" ht="18.75" customHeight="1">
      <c r="A115" s="373">
        <f>IFERROR(VLOOKUP(H115,PartyStorage,2, FALSE),0)</f>
        <v>0</v>
      </c>
      <c r="B115" s="1149"/>
      <c r="C115" s="1137"/>
      <c r="D115" s="1150"/>
      <c r="E115" s="1136" t="str">
        <f t="shared" si="1"/>
        <v/>
      </c>
      <c r="F115" s="1137"/>
      <c r="G115" s="1151"/>
      <c r="H115" s="1138"/>
      <c r="I115" s="1139"/>
      <c r="M115" s="378"/>
      <c r="N115" s="553">
        <f>IFERROR(VLOOKUP(G115,Ch7_Storage,2, FALSE),0)</f>
        <v>0</v>
      </c>
    </row>
    <row r="116" ht="18.75" customHeight="1">
      <c r="A116" s="373">
        <f>IFERROR(VLOOKUP(H116,PartyStorage,2, FALSE),0)</f>
        <v>0</v>
      </c>
      <c r="B116" s="1152"/>
      <c r="C116" s="1144"/>
      <c r="D116" s="1153"/>
      <c r="E116" s="1143" t="str">
        <f t="shared" si="1"/>
        <v/>
      </c>
      <c r="F116" s="1144"/>
      <c r="G116" s="1154"/>
      <c r="H116" s="1146"/>
      <c r="I116" s="1147"/>
      <c r="M116" s="1148"/>
      <c r="N116" s="553">
        <f>IFERROR(VLOOKUP(G116,Ch7_Storage,2, FALSE),0)</f>
        <v>0</v>
      </c>
    </row>
    <row r="117" ht="18.75" customHeight="1">
      <c r="A117" s="373">
        <f>IFERROR(VLOOKUP(H117,PartyStorage,2, FALSE),0)</f>
        <v>0</v>
      </c>
      <c r="B117" s="1149"/>
      <c r="C117" s="1137"/>
      <c r="D117" s="1150"/>
      <c r="E117" s="1136" t="str">
        <f t="shared" si="1"/>
        <v/>
      </c>
      <c r="F117" s="1137"/>
      <c r="G117" s="1151"/>
      <c r="H117" s="1138"/>
      <c r="I117" s="1139"/>
      <c r="M117" s="378"/>
      <c r="N117" s="553">
        <f>IFERROR(VLOOKUP(G117,Ch7_Storage,2, FALSE),0)</f>
        <v>0</v>
      </c>
    </row>
    <row r="118" ht="18.75" customHeight="1">
      <c r="A118" s="373">
        <f>IFERROR(VLOOKUP(H118,PartyStorage,2, FALSE),0)</f>
        <v>0</v>
      </c>
      <c r="B118" s="1152"/>
      <c r="C118" s="1144"/>
      <c r="D118" s="1153"/>
      <c r="E118" s="1143" t="str">
        <f t="shared" si="1"/>
        <v/>
      </c>
      <c r="F118" s="1144"/>
      <c r="G118" s="1154"/>
      <c r="H118" s="1146"/>
      <c r="I118" s="1147"/>
      <c r="M118" s="1148"/>
      <c r="N118" s="553">
        <f>IFERROR(VLOOKUP(G118,Ch7_Storage,2, FALSE),0)</f>
        <v>0</v>
      </c>
    </row>
    <row r="119" ht="18.75" customHeight="1">
      <c r="A119" s="373">
        <f>IFERROR(VLOOKUP(H119,PartyStorage,2, FALSE),0)</f>
        <v>0</v>
      </c>
      <c r="B119" s="1149"/>
      <c r="C119" s="1137"/>
      <c r="D119" s="1150"/>
      <c r="E119" s="1136" t="str">
        <f t="shared" si="1"/>
        <v/>
      </c>
      <c r="F119" s="1137"/>
      <c r="G119" s="1151"/>
      <c r="H119" s="1138"/>
      <c r="I119" s="1139"/>
      <c r="M119" s="378"/>
      <c r="N119" s="553">
        <f>IFERROR(VLOOKUP(G119,Ch7_Storage,2, FALSE),0)</f>
        <v>0</v>
      </c>
    </row>
    <row r="120" ht="18.75" customHeight="1">
      <c r="A120" s="373">
        <f>IFERROR(VLOOKUP(H120,PartyStorage,2, FALSE),0)</f>
        <v>0</v>
      </c>
      <c r="B120" s="1152"/>
      <c r="C120" s="1144"/>
      <c r="D120" s="1153"/>
      <c r="E120" s="1143" t="str">
        <f t="shared" si="1"/>
        <v/>
      </c>
      <c r="F120" s="1144"/>
      <c r="G120" s="1154"/>
      <c r="H120" s="1146"/>
      <c r="I120" s="1147"/>
      <c r="M120" s="1148"/>
      <c r="N120" s="553">
        <f>IFERROR(VLOOKUP(G120,Ch7_Storage,2, FALSE),0)</f>
        <v>0</v>
      </c>
    </row>
    <row r="121" ht="18.75" customHeight="1">
      <c r="A121" s="373">
        <f>IFERROR(VLOOKUP(H121,PartyStorage,2, FALSE),0)</f>
        <v>0</v>
      </c>
      <c r="B121" s="1149"/>
      <c r="C121" s="1137"/>
      <c r="D121" s="1150"/>
      <c r="E121" s="1136" t="str">
        <f t="shared" si="1"/>
        <v/>
      </c>
      <c r="F121" s="1137"/>
      <c r="G121" s="1151"/>
      <c r="H121" s="1138"/>
      <c r="I121" s="1139"/>
      <c r="M121" s="378"/>
      <c r="N121" s="553">
        <f>IFERROR(VLOOKUP(G121,Ch7_Storage,2, FALSE),0)</f>
        <v>0</v>
      </c>
    </row>
    <row r="122" ht="18.75" customHeight="1">
      <c r="A122" s="373">
        <f>IFERROR(VLOOKUP(H122,PartyStorage,2, FALSE),0)</f>
        <v>0</v>
      </c>
      <c r="B122" s="1152"/>
      <c r="C122" s="1144"/>
      <c r="D122" s="1153"/>
      <c r="E122" s="1143" t="str">
        <f t="shared" si="1"/>
        <v/>
      </c>
      <c r="F122" s="1144"/>
      <c r="G122" s="1154"/>
      <c r="H122" s="1146"/>
      <c r="I122" s="1147"/>
      <c r="M122" s="1148"/>
      <c r="N122" s="553">
        <f>IFERROR(VLOOKUP(G122,Ch7_Storage,2, FALSE),0)</f>
        <v>0</v>
      </c>
    </row>
    <row r="123" ht="18.75" customHeight="1">
      <c r="A123" s="373">
        <f>IFERROR(VLOOKUP(H123,PartyStorage,2, FALSE),0)</f>
        <v>0</v>
      </c>
      <c r="B123" s="1149"/>
      <c r="C123" s="1137"/>
      <c r="D123" s="1150"/>
      <c r="E123" s="1136" t="str">
        <f t="shared" si="1"/>
        <v/>
      </c>
      <c r="F123" s="1137"/>
      <c r="G123" s="1151"/>
      <c r="H123" s="1138"/>
      <c r="I123" s="1139"/>
      <c r="M123" s="378"/>
      <c r="N123" s="553">
        <f>IFERROR(VLOOKUP(G123,Ch7_Storage,2, FALSE),0)</f>
        <v>0</v>
      </c>
    </row>
    <row r="124" ht="18.75" customHeight="1">
      <c r="A124" s="373">
        <f>IFERROR(VLOOKUP(H124,PartyStorage,2, FALSE),0)</f>
        <v>0</v>
      </c>
      <c r="B124" s="1152"/>
      <c r="C124" s="1144"/>
      <c r="D124" s="1153"/>
      <c r="E124" s="1143" t="str">
        <f t="shared" si="1"/>
        <v/>
      </c>
      <c r="F124" s="1144"/>
      <c r="G124" s="1154"/>
      <c r="H124" s="1146"/>
      <c r="I124" s="1147"/>
      <c r="M124" s="1148"/>
      <c r="N124" s="553">
        <f>IFERROR(VLOOKUP(G124,Ch7_Storage,2, FALSE),0)</f>
        <v>0</v>
      </c>
    </row>
    <row r="125" ht="18.75" customHeight="1">
      <c r="A125" s="373">
        <f>IFERROR(VLOOKUP(H125,PartyStorage,2, FALSE),0)</f>
        <v>0</v>
      </c>
      <c r="B125" s="1149"/>
      <c r="C125" s="1137"/>
      <c r="D125" s="1150"/>
      <c r="E125" s="1136" t="str">
        <f t="shared" si="1"/>
        <v/>
      </c>
      <c r="F125" s="1137"/>
      <c r="G125" s="1151"/>
      <c r="H125" s="1138"/>
      <c r="I125" s="1139"/>
      <c r="M125" s="378"/>
      <c r="N125" s="553">
        <f>IFERROR(VLOOKUP(G125,Ch7_Storage,2, FALSE),0)</f>
        <v>0</v>
      </c>
    </row>
    <row r="126" ht="18.75" customHeight="1">
      <c r="A126" s="373">
        <f>IFERROR(VLOOKUP(H126,PartyStorage,2, FALSE),0)</f>
        <v>0</v>
      </c>
      <c r="B126" s="1152"/>
      <c r="C126" s="1144"/>
      <c r="D126" s="1153"/>
      <c r="E126" s="1143" t="str">
        <f t="shared" si="1"/>
        <v/>
      </c>
      <c r="F126" s="1144"/>
      <c r="G126" s="1154"/>
      <c r="H126" s="1146"/>
      <c r="I126" s="1147"/>
      <c r="M126" s="1148"/>
      <c r="N126" s="553">
        <f>IFERROR(VLOOKUP(G126,Ch7_Storage,2, FALSE),0)</f>
        <v>0</v>
      </c>
    </row>
    <row r="127" ht="18.75" customHeight="1">
      <c r="A127" s="373">
        <f>IFERROR(VLOOKUP(H127,PartyStorage,2, FALSE),0)</f>
        <v>0</v>
      </c>
      <c r="B127" s="1149"/>
      <c r="C127" s="1137"/>
      <c r="D127" s="1150"/>
      <c r="E127" s="1136" t="str">
        <f t="shared" si="1"/>
        <v/>
      </c>
      <c r="F127" s="1137"/>
      <c r="G127" s="1151"/>
      <c r="H127" s="1138"/>
      <c r="I127" s="1139"/>
      <c r="M127" s="378"/>
      <c r="N127" s="553">
        <f>IFERROR(VLOOKUP(G127,Ch7_Storage,2, FALSE),0)</f>
        <v>0</v>
      </c>
    </row>
    <row r="128" ht="18.75" customHeight="1">
      <c r="A128" s="373">
        <f>IFERROR(VLOOKUP(H128,PartyStorage,2, FALSE),0)</f>
        <v>0</v>
      </c>
      <c r="B128" s="1152"/>
      <c r="C128" s="1144"/>
      <c r="D128" s="1153"/>
      <c r="E128" s="1143" t="str">
        <f t="shared" si="1"/>
        <v/>
      </c>
      <c r="F128" s="1144"/>
      <c r="G128" s="1154"/>
      <c r="H128" s="1146"/>
      <c r="I128" s="1147"/>
      <c r="M128" s="1148"/>
      <c r="N128" s="553">
        <f>IFERROR(VLOOKUP(G128,Ch7_Storage,2, FALSE),0)</f>
        <v>0</v>
      </c>
    </row>
    <row r="129" ht="18.75" customHeight="1">
      <c r="A129" s="373">
        <f>IFERROR(VLOOKUP(H129,PartyStorage,2, FALSE),0)</f>
        <v>0</v>
      </c>
      <c r="B129" s="1149"/>
      <c r="C129" s="1137"/>
      <c r="D129" s="1150"/>
      <c r="E129" s="1136" t="str">
        <f t="shared" si="1"/>
        <v/>
      </c>
      <c r="F129" s="1137"/>
      <c r="G129" s="1151"/>
      <c r="H129" s="1138"/>
      <c r="I129" s="1139"/>
      <c r="M129" s="378"/>
      <c r="N129" s="553">
        <f>IFERROR(VLOOKUP(G129,Ch7_Storage,2, FALSE),0)</f>
        <v>0</v>
      </c>
    </row>
    <row r="130" ht="18.75" customHeight="1">
      <c r="A130" s="373">
        <f>IFERROR(VLOOKUP(H130,PartyStorage,2, FALSE),0)</f>
        <v>0</v>
      </c>
      <c r="B130" s="1152"/>
      <c r="C130" s="1144"/>
      <c r="D130" s="1153"/>
      <c r="E130" s="1143" t="str">
        <f t="shared" si="1"/>
        <v/>
      </c>
      <c r="F130" s="1144"/>
      <c r="G130" s="1154"/>
      <c r="H130" s="1146"/>
      <c r="I130" s="1147"/>
      <c r="M130" s="1148"/>
      <c r="N130" s="553">
        <f>IFERROR(VLOOKUP(G130,Ch7_Storage,2, FALSE),0)</f>
        <v>0</v>
      </c>
    </row>
    <row r="131" ht="18.75" customHeight="1">
      <c r="A131" s="373">
        <f>IFERROR(VLOOKUP(H131,PartyStorage,2, FALSE),0)</f>
        <v>0</v>
      </c>
      <c r="B131" s="1149"/>
      <c r="C131" s="1137"/>
      <c r="D131" s="1150"/>
      <c r="E131" s="1136" t="str">
        <f t="shared" si="1"/>
        <v/>
      </c>
      <c r="F131" s="1137"/>
      <c r="G131" s="1151"/>
      <c r="H131" s="1138"/>
      <c r="I131" s="1139"/>
      <c r="M131" s="378"/>
      <c r="N131" s="553">
        <f>IFERROR(VLOOKUP(G131,Ch7_Storage,2, FALSE),0)</f>
        <v>0</v>
      </c>
    </row>
    <row r="132" ht="18.75" customHeight="1">
      <c r="A132" s="373">
        <f>IFERROR(VLOOKUP(H132,PartyStorage,2, FALSE),0)</f>
        <v>0</v>
      </c>
      <c r="B132" s="1152"/>
      <c r="C132" s="1144"/>
      <c r="D132" s="1153"/>
      <c r="E132" s="1143" t="str">
        <f t="shared" si="1"/>
        <v/>
      </c>
      <c r="F132" s="1144"/>
      <c r="G132" s="1154"/>
      <c r="H132" s="1146"/>
      <c r="I132" s="1147"/>
      <c r="M132" s="1148"/>
      <c r="N132" s="553">
        <f>IFERROR(VLOOKUP(G132,Ch7_Storage,2, FALSE),0)</f>
        <v>0</v>
      </c>
    </row>
    <row r="133" ht="18.75" customHeight="1">
      <c r="A133" s="373">
        <f>IFERROR(VLOOKUP(H133,PartyStorage,2, FALSE),0)</f>
        <v>0</v>
      </c>
      <c r="B133" s="1149"/>
      <c r="C133" s="1137"/>
      <c r="D133" s="1150"/>
      <c r="E133" s="1136" t="str">
        <f t="shared" si="1"/>
        <v/>
      </c>
      <c r="F133" s="1137"/>
      <c r="G133" s="1151"/>
      <c r="H133" s="1138"/>
      <c r="I133" s="1139"/>
      <c r="M133" s="378"/>
      <c r="N133" s="553">
        <f>IFERROR(VLOOKUP(G133,Ch7_Storage,2, FALSE),0)</f>
        <v>0</v>
      </c>
    </row>
    <row r="134" ht="18.75" customHeight="1">
      <c r="A134" s="373">
        <f>IFERROR(VLOOKUP(H134,PartyStorage,2, FALSE),0)</f>
        <v>0</v>
      </c>
      <c r="B134" s="1152"/>
      <c r="C134" s="1144"/>
      <c r="D134" s="1153"/>
      <c r="E134" s="1143" t="str">
        <f t="shared" si="1"/>
        <v/>
      </c>
      <c r="F134" s="1144"/>
      <c r="G134" s="1154"/>
      <c r="H134" s="1146"/>
      <c r="I134" s="1147"/>
      <c r="M134" s="1148"/>
      <c r="N134" s="553">
        <f>IFERROR(VLOOKUP(G134,Ch7_Storage,2, FALSE),0)</f>
        <v>0</v>
      </c>
    </row>
    <row r="135" ht="18.75" customHeight="1">
      <c r="A135" s="373">
        <f>IFERROR(VLOOKUP(H135,PartyStorage,2, FALSE),0)</f>
        <v>0</v>
      </c>
      <c r="B135" s="1149"/>
      <c r="C135" s="1137"/>
      <c r="D135" s="1150"/>
      <c r="E135" s="1136" t="str">
        <f t="shared" si="1"/>
        <v/>
      </c>
      <c r="F135" s="1137"/>
      <c r="G135" s="1151"/>
      <c r="H135" s="1138"/>
      <c r="I135" s="1139"/>
      <c r="M135" s="378"/>
      <c r="N135" s="553">
        <f>IFERROR(VLOOKUP(G135,Ch7_Storage,2, FALSE),0)</f>
        <v>0</v>
      </c>
    </row>
    <row r="136" ht="18.75" customHeight="1">
      <c r="A136" s="373">
        <f>IFERROR(VLOOKUP(H136,PartyStorage,2, FALSE),0)</f>
        <v>0</v>
      </c>
      <c r="B136" s="1152"/>
      <c r="C136" s="1144"/>
      <c r="D136" s="1153"/>
      <c r="E136" s="1143" t="str">
        <f t="shared" si="1"/>
        <v/>
      </c>
      <c r="F136" s="1144"/>
      <c r="G136" s="1154"/>
      <c r="H136" s="1146"/>
      <c r="I136" s="1147"/>
      <c r="M136" s="1148"/>
      <c r="N136" s="553">
        <f>IFERROR(VLOOKUP(G136,Ch7_Storage,2, FALSE),0)</f>
        <v>0</v>
      </c>
    </row>
    <row r="137" ht="18.75" customHeight="1">
      <c r="A137" s="373">
        <f>IFERROR(VLOOKUP(H137,PartyStorage,2, FALSE),0)</f>
        <v>0</v>
      </c>
      <c r="B137" s="1149"/>
      <c r="C137" s="1137"/>
      <c r="D137" s="1150"/>
      <c r="E137" s="1136" t="str">
        <f t="shared" si="1"/>
        <v/>
      </c>
      <c r="F137" s="1137"/>
      <c r="G137" s="1151"/>
      <c r="H137" s="1138"/>
      <c r="I137" s="1139"/>
      <c r="M137" s="378"/>
      <c r="N137" s="553">
        <f>IFERROR(VLOOKUP(G137,Ch7_Storage,2, FALSE),0)</f>
        <v>0</v>
      </c>
    </row>
    <row r="138" ht="18.75" customHeight="1">
      <c r="A138" s="373">
        <f>IFERROR(VLOOKUP(H138,PartyStorage,2, FALSE),0)</f>
        <v>0</v>
      </c>
      <c r="B138" s="1152"/>
      <c r="C138" s="1144"/>
      <c r="D138" s="1153"/>
      <c r="E138" s="1143" t="str">
        <f t="shared" si="1"/>
        <v/>
      </c>
      <c r="F138" s="1144"/>
      <c r="G138" s="1154"/>
      <c r="H138" s="1146"/>
      <c r="I138" s="1147"/>
      <c r="M138" s="1148"/>
      <c r="N138" s="553">
        <f>IFERROR(VLOOKUP(G138,Ch7_Storage,2, FALSE),0)</f>
        <v>0</v>
      </c>
    </row>
    <row r="139" ht="18.75" customHeight="1">
      <c r="A139" s="373">
        <f>IFERROR(VLOOKUP(H139,PartyStorage,2, FALSE),0)</f>
        <v>0</v>
      </c>
      <c r="B139" s="1149"/>
      <c r="C139" s="1137"/>
      <c r="D139" s="1150"/>
      <c r="E139" s="1136" t="str">
        <f t="shared" si="1"/>
        <v/>
      </c>
      <c r="F139" s="1137"/>
      <c r="G139" s="1151"/>
      <c r="H139" s="1138"/>
      <c r="I139" s="1139"/>
      <c r="M139" s="378"/>
      <c r="N139" s="553">
        <f>IFERROR(VLOOKUP(G139,Ch7_Storage,2, FALSE),0)</f>
        <v>0</v>
      </c>
    </row>
    <row r="140" ht="18.75" customHeight="1">
      <c r="A140" s="373">
        <f>IFERROR(VLOOKUP(H140,PartyStorage,2, FALSE),0)</f>
        <v>0</v>
      </c>
      <c r="B140" s="1152"/>
      <c r="C140" s="1144"/>
      <c r="D140" s="1153"/>
      <c r="E140" s="1143" t="str">
        <f t="shared" si="1"/>
        <v/>
      </c>
      <c r="F140" s="1144"/>
      <c r="G140" s="1154"/>
      <c r="H140" s="1146"/>
      <c r="I140" s="1147"/>
      <c r="M140" s="1148"/>
      <c r="N140" s="553">
        <f>IFERROR(VLOOKUP(G140,Ch7_Storage,2, FALSE),0)</f>
        <v>0</v>
      </c>
    </row>
    <row r="141" ht="18.75" customHeight="1">
      <c r="A141" s="373">
        <f>IFERROR(VLOOKUP(H141,PartyStorage,2, FALSE),0)</f>
        <v>0</v>
      </c>
      <c r="B141" s="1149"/>
      <c r="C141" s="1137"/>
      <c r="D141" s="1150"/>
      <c r="E141" s="1136" t="str">
        <f t="shared" si="1"/>
        <v/>
      </c>
      <c r="F141" s="1137"/>
      <c r="G141" s="1151"/>
      <c r="H141" s="1138"/>
      <c r="I141" s="1139"/>
      <c r="M141" s="378"/>
      <c r="N141" s="553">
        <f>IFERROR(VLOOKUP(G141,Ch7_Storage,2, FALSE),0)</f>
        <v>0</v>
      </c>
    </row>
    <row r="142" ht="18.75" customHeight="1">
      <c r="A142" s="373">
        <f>IFERROR(VLOOKUP(H142,PartyStorage,2, FALSE),0)</f>
        <v>0</v>
      </c>
      <c r="B142" s="1152"/>
      <c r="C142" s="1144"/>
      <c r="D142" s="1153"/>
      <c r="E142" s="1143" t="str">
        <f t="shared" si="1"/>
        <v/>
      </c>
      <c r="F142" s="1144"/>
      <c r="G142" s="1154"/>
      <c r="H142" s="1146"/>
      <c r="I142" s="1147"/>
      <c r="M142" s="1148"/>
      <c r="N142" s="553">
        <f>IFERROR(VLOOKUP(G142,Ch7_Storage,2, FALSE),0)</f>
        <v>0</v>
      </c>
    </row>
    <row r="143" ht="18.75" customHeight="1">
      <c r="A143" s="373">
        <f>IFERROR(VLOOKUP(H143,PartyStorage,2, FALSE),0)</f>
        <v>0</v>
      </c>
      <c r="B143" s="1149"/>
      <c r="C143" s="1137"/>
      <c r="D143" s="1150"/>
      <c r="E143" s="1136" t="str">
        <f t="shared" si="1"/>
        <v/>
      </c>
      <c r="F143" s="1137"/>
      <c r="G143" s="1151"/>
      <c r="H143" s="1138"/>
      <c r="I143" s="1139"/>
      <c r="M143" s="378"/>
      <c r="N143" s="553">
        <f>IFERROR(VLOOKUP(G143,Ch7_Storage,2, FALSE),0)</f>
        <v>0</v>
      </c>
    </row>
    <row r="144" ht="18.75" customHeight="1">
      <c r="A144" s="373">
        <f>IFERROR(VLOOKUP(H144,PartyStorage,2, FALSE),0)</f>
        <v>0</v>
      </c>
      <c r="B144" s="1152"/>
      <c r="C144" s="1144"/>
      <c r="D144" s="1153"/>
      <c r="E144" s="1143" t="str">
        <f t="shared" si="1"/>
        <v/>
      </c>
      <c r="F144" s="1144"/>
      <c r="G144" s="1154"/>
      <c r="H144" s="1146"/>
      <c r="I144" s="1147"/>
      <c r="M144" s="1148"/>
      <c r="N144" s="553">
        <f>IFERROR(VLOOKUP(G144,Ch7_Storage,2, FALSE),0)</f>
        <v>0</v>
      </c>
    </row>
    <row r="145" ht="18.75" customHeight="1">
      <c r="A145" s="373">
        <f>IFERROR(VLOOKUP(H145,PartyStorage,2, FALSE),0)</f>
        <v>0</v>
      </c>
      <c r="B145" s="1149"/>
      <c r="C145" s="1137"/>
      <c r="D145" s="1150"/>
      <c r="E145" s="1136" t="str">
        <f t="shared" si="1"/>
        <v/>
      </c>
      <c r="F145" s="1137"/>
      <c r="G145" s="1151"/>
      <c r="H145" s="1138"/>
      <c r="I145" s="1139"/>
      <c r="M145" s="378"/>
      <c r="N145" s="553">
        <f>IFERROR(VLOOKUP(G145,Ch7_Storage,2, FALSE),0)</f>
        <v>0</v>
      </c>
    </row>
    <row r="146" ht="18.75" customHeight="1">
      <c r="A146" s="373">
        <f>IFERROR(VLOOKUP(H146,PartyStorage,2, FALSE),0)</f>
        <v>0</v>
      </c>
      <c r="B146" s="1152"/>
      <c r="C146" s="1144"/>
      <c r="D146" s="1153"/>
      <c r="E146" s="1143" t="str">
        <f t="shared" si="1"/>
        <v/>
      </c>
      <c r="F146" s="1144"/>
      <c r="G146" s="1154"/>
      <c r="H146" s="1146"/>
      <c r="I146" s="1147"/>
      <c r="M146" s="1148"/>
      <c r="N146" s="553">
        <f>IFERROR(VLOOKUP(G146,Ch7_Storage,2, FALSE),0)</f>
        <v>0</v>
      </c>
    </row>
    <row r="147" ht="18.75" customHeight="1">
      <c r="A147" s="373">
        <f>IFERROR(VLOOKUP(H147,PartyStorage,2, FALSE),0)</f>
        <v>0</v>
      </c>
      <c r="B147" s="1149"/>
      <c r="C147" s="1137"/>
      <c r="D147" s="1150"/>
      <c r="E147" s="1136" t="str">
        <f t="shared" si="1"/>
        <v/>
      </c>
      <c r="F147" s="1137"/>
      <c r="G147" s="1151"/>
      <c r="H147" s="1138"/>
      <c r="I147" s="1139"/>
      <c r="M147" s="378"/>
      <c r="N147" s="553">
        <f>IFERROR(VLOOKUP(G147,Ch7_Storage,2, FALSE),0)</f>
        <v>0</v>
      </c>
    </row>
    <row r="148" ht="18.75" customHeight="1">
      <c r="A148" s="373">
        <f>IFERROR(VLOOKUP(H148,PartyStorage,2, FALSE),0)</f>
        <v>0</v>
      </c>
      <c r="B148" s="1152"/>
      <c r="C148" s="1144"/>
      <c r="D148" s="1153"/>
      <c r="E148" s="1143" t="str">
        <f t="shared" si="1"/>
        <v/>
      </c>
      <c r="F148" s="1144"/>
      <c r="G148" s="1154"/>
      <c r="H148" s="1146"/>
      <c r="I148" s="1147"/>
      <c r="M148" s="1148"/>
      <c r="N148" s="553">
        <f>IFERROR(VLOOKUP(G148,Ch7_Storage,2, FALSE),0)</f>
        <v>0</v>
      </c>
    </row>
    <row r="149" ht="18.75" customHeight="1">
      <c r="A149" s="373">
        <f>IFERROR(VLOOKUP(H149,PartyStorage,2, FALSE),0)</f>
        <v>0</v>
      </c>
      <c r="B149" s="1149"/>
      <c r="C149" s="1137"/>
      <c r="D149" s="1150"/>
      <c r="E149" s="1136" t="str">
        <f t="shared" si="1"/>
        <v/>
      </c>
      <c r="F149" s="1137"/>
      <c r="G149" s="1151"/>
      <c r="H149" s="1138"/>
      <c r="I149" s="1139"/>
      <c r="M149" s="378"/>
      <c r="N149" s="553">
        <f>IFERROR(VLOOKUP(G149,Ch7_Storage,2, FALSE),0)</f>
        <v>0</v>
      </c>
    </row>
    <row r="150" ht="18.75" customHeight="1">
      <c r="A150" s="373">
        <f>IFERROR(VLOOKUP(H150,PartyStorage,2, FALSE),0)</f>
        <v>0</v>
      </c>
      <c r="B150" s="1152"/>
      <c r="C150" s="1144"/>
      <c r="D150" s="1153"/>
      <c r="E150" s="1143" t="str">
        <f t="shared" si="1"/>
        <v/>
      </c>
      <c r="F150" s="1144"/>
      <c r="G150" s="1154"/>
      <c r="H150" s="1146"/>
      <c r="I150" s="1147"/>
      <c r="M150" s="1148"/>
      <c r="N150" s="553">
        <f>IFERROR(VLOOKUP(G150,Ch7_Storage,2, FALSE),0)</f>
        <v>0</v>
      </c>
    </row>
    <row r="151" ht="18.75" customHeight="1">
      <c r="A151" s="373">
        <f>IFERROR(VLOOKUP(H151,PartyStorage,2, FALSE),0)</f>
        <v>0</v>
      </c>
      <c r="B151" s="1149"/>
      <c r="C151" s="1137"/>
      <c r="D151" s="1150"/>
      <c r="E151" s="1136" t="str">
        <f t="shared" si="1"/>
        <v/>
      </c>
      <c r="F151" s="1137"/>
      <c r="G151" s="1151"/>
      <c r="H151" s="1138"/>
      <c r="I151" s="1139"/>
      <c r="M151" s="378"/>
      <c r="N151" s="553">
        <f>IFERROR(VLOOKUP(G151,Ch7_Storage,2, FALSE),0)</f>
        <v>0</v>
      </c>
    </row>
    <row r="152" ht="18.75" customHeight="1">
      <c r="A152" s="373">
        <f>IFERROR(VLOOKUP(H152,PartyStorage,2, FALSE),0)</f>
        <v>0</v>
      </c>
      <c r="B152" s="1152"/>
      <c r="C152" s="1144"/>
      <c r="D152" s="1153"/>
      <c r="E152" s="1143" t="str">
        <f t="shared" si="1"/>
        <v/>
      </c>
      <c r="F152" s="1144"/>
      <c r="G152" s="1154"/>
      <c r="H152" s="1146"/>
      <c r="I152" s="1147"/>
      <c r="M152" s="1148"/>
      <c r="N152" s="553">
        <f>IFERROR(VLOOKUP(G152,Ch7_Storage,2, FALSE),0)</f>
        <v>0</v>
      </c>
    </row>
    <row r="153" ht="18.75" customHeight="1">
      <c r="A153" s="373">
        <f>IFERROR(VLOOKUP(H153,PartyStorage,2, FALSE),0)</f>
        <v>0</v>
      </c>
      <c r="B153" s="1149"/>
      <c r="C153" s="1137"/>
      <c r="D153" s="1150"/>
      <c r="E153" s="1136" t="str">
        <f t="shared" si="1"/>
        <v/>
      </c>
      <c r="F153" s="1137"/>
      <c r="G153" s="1151"/>
      <c r="H153" s="1138"/>
      <c r="I153" s="1139"/>
      <c r="M153" s="378"/>
      <c r="N153" s="553">
        <f>IFERROR(VLOOKUP(G153,Ch7_Storage,2, FALSE),0)</f>
        <v>0</v>
      </c>
    </row>
    <row r="154" ht="18.75" customHeight="1">
      <c r="A154" s="373">
        <f>IFERROR(VLOOKUP(H154,PartyStorage,2, FALSE),0)</f>
        <v>0</v>
      </c>
      <c r="B154" s="1152"/>
      <c r="C154" s="1144"/>
      <c r="D154" s="1153"/>
      <c r="E154" s="1143" t="str">
        <f t="shared" si="1"/>
        <v/>
      </c>
      <c r="F154" s="1144"/>
      <c r="G154" s="1154"/>
      <c r="H154" s="1146"/>
      <c r="I154" s="1147"/>
      <c r="M154" s="1148"/>
      <c r="N154" s="553">
        <f>IFERROR(VLOOKUP(G154,Ch7_Storage,2, FALSE),0)</f>
        <v>0</v>
      </c>
    </row>
    <row r="155" ht="18.75" customHeight="1">
      <c r="A155" s="373">
        <f>IFERROR(VLOOKUP(H155,PartyStorage,2, FALSE),0)</f>
        <v>0</v>
      </c>
      <c r="B155" s="1149"/>
      <c r="C155" s="1137"/>
      <c r="D155" s="1150"/>
      <c r="E155" s="1136" t="str">
        <f t="shared" si="1"/>
        <v/>
      </c>
      <c r="F155" s="1137"/>
      <c r="G155" s="1151"/>
      <c r="H155" s="1138"/>
      <c r="I155" s="1139"/>
      <c r="M155" s="378"/>
      <c r="N155" s="553">
        <f>IFERROR(VLOOKUP(G155,Ch7_Storage,2, FALSE),0)</f>
        <v>0</v>
      </c>
    </row>
    <row r="156" ht="18.75" customHeight="1">
      <c r="A156" s="373">
        <f>IFERROR(VLOOKUP(H156,PartyStorage,2, FALSE),0)</f>
        <v>0</v>
      </c>
      <c r="B156" s="1152"/>
      <c r="C156" s="1144"/>
      <c r="D156" s="1153"/>
      <c r="E156" s="1143" t="str">
        <f t="shared" si="1"/>
        <v/>
      </c>
      <c r="F156" s="1144"/>
      <c r="G156" s="1154"/>
      <c r="H156" s="1146"/>
      <c r="I156" s="1147"/>
      <c r="M156" s="1148"/>
      <c r="N156" s="553">
        <f>IFERROR(VLOOKUP(G156,Ch7_Storage,2, FALSE),0)</f>
        <v>0</v>
      </c>
    </row>
    <row r="157" ht="18.75" customHeight="1">
      <c r="A157" s="373">
        <f>IFERROR(VLOOKUP(H157,PartyStorage,2, FALSE),0)</f>
        <v>0</v>
      </c>
      <c r="B157" s="1149"/>
      <c r="C157" s="1137"/>
      <c r="D157" s="1150"/>
      <c r="E157" s="1136" t="str">
        <f t="shared" si="1"/>
        <v/>
      </c>
      <c r="F157" s="1137"/>
      <c r="G157" s="1151"/>
      <c r="H157" s="1138"/>
      <c r="I157" s="1139"/>
      <c r="M157" s="378"/>
      <c r="N157" s="553">
        <f>IFERROR(VLOOKUP(G157,Ch7_Storage,2, FALSE),0)</f>
        <v>0</v>
      </c>
    </row>
    <row r="158" ht="18.75" customHeight="1">
      <c r="A158" s="373">
        <f>IFERROR(VLOOKUP(H158,PartyStorage,2, FALSE),0)</f>
        <v>0</v>
      </c>
      <c r="B158" s="1152"/>
      <c r="C158" s="1144"/>
      <c r="D158" s="1153"/>
      <c r="E158" s="1143" t="str">
        <f t="shared" si="1"/>
        <v/>
      </c>
      <c r="F158" s="1144"/>
      <c r="G158" s="1154"/>
      <c r="H158" s="1146"/>
      <c r="I158" s="1147"/>
      <c r="M158" s="1148"/>
      <c r="N158" s="553">
        <f>IFERROR(VLOOKUP(G158,Ch7_Storage,2, FALSE),0)</f>
        <v>0</v>
      </c>
    </row>
    <row r="159" ht="18.75" customHeight="1">
      <c r="A159" s="373">
        <f>IFERROR(VLOOKUP(H159,PartyStorage,2, FALSE),0)</f>
        <v>0</v>
      </c>
      <c r="B159" s="1149"/>
      <c r="C159" s="1137"/>
      <c r="D159" s="1150"/>
      <c r="E159" s="1136" t="str">
        <f t="shared" si="1"/>
        <v/>
      </c>
      <c r="F159" s="1137"/>
      <c r="G159" s="1151"/>
      <c r="H159" s="1138"/>
      <c r="I159" s="1139"/>
      <c r="M159" s="378"/>
      <c r="N159" s="553">
        <f>IFERROR(VLOOKUP(G159,Ch7_Storage,2, FALSE),0)</f>
        <v>0</v>
      </c>
    </row>
    <row r="160" ht="18.75" customHeight="1">
      <c r="A160" s="373">
        <f>IFERROR(VLOOKUP(H160,PartyStorage,2, FALSE),0)</f>
        <v>0</v>
      </c>
      <c r="B160" s="1152"/>
      <c r="C160" s="1144"/>
      <c r="D160" s="1153"/>
      <c r="E160" s="1143" t="str">
        <f t="shared" si="1"/>
        <v/>
      </c>
      <c r="F160" s="1144"/>
      <c r="G160" s="1154"/>
      <c r="H160" s="1146"/>
      <c r="I160" s="1147"/>
      <c r="M160" s="1148"/>
      <c r="N160" s="553">
        <f>IFERROR(VLOOKUP(G160,Ch7_Storage,2, FALSE),0)</f>
        <v>0</v>
      </c>
    </row>
    <row r="161" ht="18.75" customHeight="1">
      <c r="A161" s="373">
        <f>IFERROR(VLOOKUP(H161,PartyStorage,2, FALSE),0)</f>
        <v>0</v>
      </c>
      <c r="B161" s="1149"/>
      <c r="C161" s="1137"/>
      <c r="D161" s="1150"/>
      <c r="E161" s="1136" t="str">
        <f t="shared" si="1"/>
        <v/>
      </c>
      <c r="F161" s="1137"/>
      <c r="G161" s="1151"/>
      <c r="H161" s="1138"/>
      <c r="I161" s="1139"/>
      <c r="M161" s="378"/>
      <c r="N161" s="553">
        <f>IFERROR(VLOOKUP(G161,Ch7_Storage,2, FALSE),0)</f>
        <v>0</v>
      </c>
    </row>
    <row r="162" ht="18.75" customHeight="1">
      <c r="A162" s="373">
        <f>IFERROR(VLOOKUP(H162,PartyStorage,2, FALSE),0)</f>
        <v>0</v>
      </c>
      <c r="B162" s="1152"/>
      <c r="C162" s="1144"/>
      <c r="D162" s="1153"/>
      <c r="E162" s="1143" t="str">
        <f t="shared" si="1"/>
        <v/>
      </c>
      <c r="F162" s="1144"/>
      <c r="G162" s="1154"/>
      <c r="H162" s="1146"/>
      <c r="I162" s="1147"/>
      <c r="M162" s="1148"/>
      <c r="N162" s="553">
        <f>IFERROR(VLOOKUP(G162,Ch7_Storage,2, FALSE),0)</f>
        <v>0</v>
      </c>
    </row>
    <row r="163" ht="18.75" customHeight="1">
      <c r="A163" s="373">
        <f>IFERROR(VLOOKUP(H163,PartyStorage,2, FALSE),0)</f>
        <v>0</v>
      </c>
      <c r="B163" s="1149"/>
      <c r="C163" s="1137"/>
      <c r="D163" s="1150"/>
      <c r="E163" s="1136" t="str">
        <f t="shared" si="1"/>
        <v/>
      </c>
      <c r="F163" s="1137"/>
      <c r="G163" s="1151"/>
      <c r="H163" s="1138"/>
      <c r="I163" s="1139"/>
      <c r="M163" s="378"/>
      <c r="N163" s="553">
        <f>IFERROR(VLOOKUP(G163,Ch7_Storage,2, FALSE),0)</f>
        <v>0</v>
      </c>
    </row>
    <row r="164" ht="18.75" customHeight="1">
      <c r="A164" s="373">
        <f>IFERROR(VLOOKUP(H164,PartyStorage,2, FALSE),0)</f>
        <v>0</v>
      </c>
      <c r="B164" s="1152"/>
      <c r="C164" s="1144"/>
      <c r="D164" s="1153"/>
      <c r="E164" s="1143" t="str">
        <f t="shared" si="1"/>
        <v/>
      </c>
      <c r="F164" s="1144"/>
      <c r="G164" s="1154"/>
      <c r="H164" s="1146"/>
      <c r="I164" s="1147"/>
      <c r="M164" s="1148"/>
      <c r="N164" s="553">
        <f>IFERROR(VLOOKUP(G164,Ch7_Storage,2, FALSE),0)</f>
        <v>0</v>
      </c>
    </row>
    <row r="165" ht="18.75" customHeight="1">
      <c r="A165" s="373">
        <f>IFERROR(VLOOKUP(H165,PartyStorage,2, FALSE),0)</f>
        <v>0</v>
      </c>
      <c r="B165" s="1149"/>
      <c r="C165" s="1137"/>
      <c r="D165" s="1150"/>
      <c r="E165" s="1136" t="str">
        <f t="shared" si="1"/>
        <v/>
      </c>
      <c r="F165" s="1137"/>
      <c r="G165" s="1151"/>
      <c r="H165" s="1138"/>
      <c r="I165" s="1139"/>
      <c r="M165" s="378"/>
      <c r="N165" s="553">
        <f>IFERROR(VLOOKUP(G165,Ch7_Storage,2, FALSE),0)</f>
        <v>0</v>
      </c>
    </row>
    <row r="166" ht="18.75" customHeight="1">
      <c r="A166" s="373">
        <f>IFERROR(VLOOKUP(H166,PartyStorage,2, FALSE),0)</f>
        <v>0</v>
      </c>
      <c r="B166" s="1152"/>
      <c r="C166" s="1144"/>
      <c r="D166" s="1153"/>
      <c r="E166" s="1143" t="str">
        <f t="shared" si="1"/>
        <v/>
      </c>
      <c r="F166" s="1144"/>
      <c r="G166" s="1154"/>
      <c r="H166" s="1146"/>
      <c r="I166" s="1147"/>
      <c r="M166" s="1148"/>
      <c r="N166" s="553">
        <f>IFERROR(VLOOKUP(G166,Ch7_Storage,2, FALSE),0)</f>
        <v>0</v>
      </c>
    </row>
    <row r="167" ht="18.75" customHeight="1">
      <c r="A167" s="373">
        <f>IFERROR(VLOOKUP(H167,PartyStorage,2, FALSE),0)</f>
        <v>0</v>
      </c>
      <c r="B167" s="1149"/>
      <c r="C167" s="1137"/>
      <c r="D167" s="1150"/>
      <c r="E167" s="1136" t="str">
        <f t="shared" si="1"/>
        <v/>
      </c>
      <c r="F167" s="1137"/>
      <c r="G167" s="1151"/>
      <c r="H167" s="1138"/>
      <c r="I167" s="1139"/>
      <c r="M167" s="378"/>
      <c r="N167" s="553">
        <f>IFERROR(VLOOKUP(G167,Ch7_Storage,2, FALSE),0)</f>
        <v>0</v>
      </c>
    </row>
    <row r="168" ht="18.75" customHeight="1">
      <c r="A168" s="373">
        <f>IFERROR(VLOOKUP(H168,PartyStorage,2, FALSE),0)</f>
        <v>0</v>
      </c>
      <c r="B168" s="1152"/>
      <c r="C168" s="1144"/>
      <c r="D168" s="1153"/>
      <c r="E168" s="1143" t="str">
        <f t="shared" si="1"/>
        <v/>
      </c>
      <c r="F168" s="1144"/>
      <c r="G168" s="1154"/>
      <c r="H168" s="1146"/>
      <c r="I168" s="1147"/>
      <c r="M168" s="1148"/>
      <c r="N168" s="553">
        <f>IFERROR(VLOOKUP(G168,Ch7_Storage,2, FALSE),0)</f>
        <v>0</v>
      </c>
    </row>
    <row r="169" ht="18.75" customHeight="1">
      <c r="A169" s="373">
        <f>IFERROR(VLOOKUP(H169,PartyStorage,2, FALSE),0)</f>
        <v>0</v>
      </c>
      <c r="B169" s="1149"/>
      <c r="C169" s="1137"/>
      <c r="D169" s="1150"/>
      <c r="E169" s="1136" t="str">
        <f t="shared" si="1"/>
        <v/>
      </c>
      <c r="F169" s="1137"/>
      <c r="G169" s="1151"/>
      <c r="H169" s="1138"/>
      <c r="I169" s="1139"/>
      <c r="M169" s="378"/>
      <c r="N169" s="553">
        <f>IFERROR(VLOOKUP(G169,Ch7_Storage,2, FALSE),0)</f>
        <v>0</v>
      </c>
    </row>
    <row r="170" ht="18.75" customHeight="1">
      <c r="A170" s="373">
        <f>IFERROR(VLOOKUP(H170,PartyStorage,2, FALSE),0)</f>
        <v>0</v>
      </c>
      <c r="B170" s="1152"/>
      <c r="C170" s="1144"/>
      <c r="D170" s="1153"/>
      <c r="E170" s="1143" t="str">
        <f t="shared" si="1"/>
        <v/>
      </c>
      <c r="F170" s="1144"/>
      <c r="G170" s="1154"/>
      <c r="H170" s="1146"/>
      <c r="I170" s="1147"/>
      <c r="M170" s="1148"/>
      <c r="N170" s="553">
        <f>IFERROR(VLOOKUP(G170,Ch7_Storage,2, FALSE),0)</f>
        <v>0</v>
      </c>
    </row>
    <row r="171" ht="18.75" customHeight="1">
      <c r="A171" s="373">
        <f>IFERROR(VLOOKUP(H171,PartyStorage,2, FALSE),0)</f>
        <v>0</v>
      </c>
      <c r="B171" s="1149"/>
      <c r="C171" s="1137"/>
      <c r="D171" s="1150"/>
      <c r="E171" s="1136" t="str">
        <f t="shared" si="1"/>
        <v/>
      </c>
      <c r="F171" s="1137"/>
      <c r="G171" s="1151"/>
      <c r="H171" s="1138"/>
      <c r="I171" s="1139"/>
      <c r="M171" s="378"/>
      <c r="N171" s="553">
        <f>IFERROR(VLOOKUP(G171,Ch7_Storage,2, FALSE),0)</f>
        <v>0</v>
      </c>
    </row>
    <row r="172" ht="18.75" customHeight="1">
      <c r="A172" s="373">
        <f>IFERROR(VLOOKUP(H172,PartyStorage,2, FALSE),0)</f>
        <v>0</v>
      </c>
      <c r="B172" s="1152"/>
      <c r="C172" s="1144"/>
      <c r="D172" s="1153"/>
      <c r="E172" s="1143" t="str">
        <f t="shared" si="1"/>
        <v/>
      </c>
      <c r="F172" s="1144"/>
      <c r="G172" s="1154"/>
      <c r="H172" s="1146"/>
      <c r="I172" s="1147"/>
      <c r="M172" s="1148"/>
      <c r="N172" s="553">
        <f>IFERROR(VLOOKUP(G172,Ch7_Storage,2, FALSE),0)</f>
        <v>0</v>
      </c>
    </row>
    <row r="173" ht="18.75" customHeight="1">
      <c r="A173" s="373">
        <f>IFERROR(VLOOKUP(H173,PartyStorage,2, FALSE),0)</f>
        <v>0</v>
      </c>
      <c r="B173" s="1149"/>
      <c r="C173" s="1137"/>
      <c r="D173" s="1150"/>
      <c r="E173" s="1136" t="str">
        <f t="shared" si="1"/>
        <v/>
      </c>
      <c r="F173" s="1137"/>
      <c r="G173" s="1151"/>
      <c r="H173" s="1138"/>
      <c r="I173" s="1139"/>
      <c r="M173" s="378"/>
      <c r="N173" s="553">
        <f>IFERROR(VLOOKUP(G173,Ch7_Storage,2, FALSE),0)</f>
        <v>0</v>
      </c>
    </row>
    <row r="174" ht="18.75" customHeight="1">
      <c r="A174" s="373">
        <f>IFERROR(VLOOKUP(H174,PartyStorage,2, FALSE),0)</f>
        <v>0</v>
      </c>
      <c r="B174" s="1152"/>
      <c r="C174" s="1144"/>
      <c r="D174" s="1153"/>
      <c r="E174" s="1143" t="str">
        <f t="shared" si="1"/>
        <v/>
      </c>
      <c r="F174" s="1144"/>
      <c r="G174" s="1154"/>
      <c r="H174" s="1146"/>
      <c r="I174" s="1147"/>
      <c r="M174" s="1148"/>
      <c r="N174" s="553">
        <f>IFERROR(VLOOKUP(G174,Ch7_Storage,2, FALSE),0)</f>
        <v>0</v>
      </c>
    </row>
    <row r="175" ht="18.75" customHeight="1">
      <c r="A175" s="373">
        <f>IFERROR(VLOOKUP(H175,PartyStorage,2, FALSE),0)</f>
        <v>0</v>
      </c>
      <c r="B175" s="1149"/>
      <c r="C175" s="1137"/>
      <c r="D175" s="1150"/>
      <c r="E175" s="1136" t="str">
        <f t="shared" si="1"/>
        <v/>
      </c>
      <c r="F175" s="1137"/>
      <c r="G175" s="1151"/>
      <c r="H175" s="1138"/>
      <c r="I175" s="1139"/>
      <c r="M175" s="378"/>
      <c r="N175" s="553">
        <f>IFERROR(VLOOKUP(G175,Ch7_Storage,2, FALSE),0)</f>
        <v>0</v>
      </c>
    </row>
    <row r="176" ht="18.75" customHeight="1">
      <c r="A176" s="373">
        <f>IFERROR(VLOOKUP(H176,PartyStorage,2, FALSE),0)</f>
        <v>0</v>
      </c>
      <c r="B176" s="1152"/>
      <c r="C176" s="1144"/>
      <c r="D176" s="1153"/>
      <c r="E176" s="1143" t="str">
        <f t="shared" si="1"/>
        <v/>
      </c>
      <c r="F176" s="1144"/>
      <c r="G176" s="1154"/>
      <c r="H176" s="1146"/>
      <c r="I176" s="1147"/>
      <c r="M176" s="1148"/>
      <c r="N176" s="553">
        <f>IFERROR(VLOOKUP(G176,Ch7_Storage,2, FALSE),0)</f>
        <v>0</v>
      </c>
    </row>
    <row r="177" ht="18.75" customHeight="1">
      <c r="A177" s="373">
        <f>IFERROR(VLOOKUP(H177,PartyStorage,2, FALSE),0)</f>
        <v>0</v>
      </c>
      <c r="B177" s="1149"/>
      <c r="C177" s="1137"/>
      <c r="D177" s="1150"/>
      <c r="E177" s="1136" t="str">
        <f t="shared" si="1"/>
        <v/>
      </c>
      <c r="F177" s="1137"/>
      <c r="G177" s="1151"/>
      <c r="H177" s="1138"/>
      <c r="I177" s="1139"/>
      <c r="M177" s="378"/>
      <c r="N177" s="553">
        <f>IFERROR(VLOOKUP(G177,Ch7_Storage,2, FALSE),0)</f>
        <v>0</v>
      </c>
    </row>
    <row r="178" ht="18.75" customHeight="1">
      <c r="A178" s="373">
        <f>IFERROR(VLOOKUP(H178,PartyStorage,2, FALSE),0)</f>
        <v>0</v>
      </c>
      <c r="B178" s="1152"/>
      <c r="C178" s="1144"/>
      <c r="D178" s="1153"/>
      <c r="E178" s="1143" t="str">
        <f t="shared" si="1"/>
        <v/>
      </c>
      <c r="F178" s="1144"/>
      <c r="G178" s="1154"/>
      <c r="H178" s="1146"/>
      <c r="I178" s="1147"/>
      <c r="M178" s="1148"/>
      <c r="N178" s="553">
        <f>IFERROR(VLOOKUP(G178,Ch7_Storage,2, FALSE),0)</f>
        <v>0</v>
      </c>
    </row>
    <row r="179" ht="18.75" customHeight="1">
      <c r="A179" s="373">
        <f>IFERROR(VLOOKUP(H179,PartyStorage,2, FALSE),0)</f>
        <v>0</v>
      </c>
      <c r="B179" s="1149"/>
      <c r="C179" s="1137"/>
      <c r="D179" s="1150"/>
      <c r="E179" s="1136" t="str">
        <f t="shared" si="1"/>
        <v/>
      </c>
      <c r="F179" s="1137"/>
      <c r="G179" s="1151"/>
      <c r="H179" s="1138"/>
      <c r="I179" s="1139"/>
      <c r="M179" s="378"/>
      <c r="N179" s="553">
        <f>IFERROR(VLOOKUP(G179,Ch7_Storage,2, FALSE),0)</f>
        <v>0</v>
      </c>
    </row>
    <row r="180" ht="18.75" customHeight="1">
      <c r="A180" s="373">
        <f>IFERROR(VLOOKUP(H180,PartyStorage,2, FALSE),0)</f>
        <v>0</v>
      </c>
      <c r="B180" s="1152"/>
      <c r="C180" s="1144"/>
      <c r="D180" s="1153"/>
      <c r="E180" s="1143" t="str">
        <f t="shared" si="1"/>
        <v/>
      </c>
      <c r="F180" s="1144"/>
      <c r="G180" s="1154"/>
      <c r="H180" s="1146"/>
      <c r="I180" s="1147"/>
      <c r="M180" s="1148"/>
      <c r="N180" s="553">
        <f>IFERROR(VLOOKUP(G180,Ch7_Storage,2, FALSE),0)</f>
        <v>0</v>
      </c>
    </row>
    <row r="181" ht="18.75" customHeight="1">
      <c r="A181" s="373">
        <f>IFERROR(VLOOKUP(H181,PartyStorage,2, FALSE),0)</f>
        <v>0</v>
      </c>
      <c r="B181" s="1149"/>
      <c r="C181" s="1137"/>
      <c r="D181" s="1150"/>
      <c r="E181" s="1136" t="str">
        <f t="shared" si="1"/>
        <v/>
      </c>
      <c r="F181" s="1137"/>
      <c r="G181" s="1151"/>
      <c r="H181" s="1138"/>
      <c r="I181" s="1139"/>
      <c r="M181" s="378"/>
      <c r="N181" s="553">
        <f>IFERROR(VLOOKUP(G181,Ch7_Storage,2, FALSE),0)</f>
        <v>0</v>
      </c>
    </row>
    <row r="182" ht="18.75" customHeight="1">
      <c r="A182" s="373">
        <f>IFERROR(VLOOKUP(H182,PartyStorage,2, FALSE),0)</f>
        <v>0</v>
      </c>
      <c r="B182" s="1152"/>
      <c r="C182" s="1144"/>
      <c r="D182" s="1153"/>
      <c r="E182" s="1143" t="str">
        <f t="shared" si="1"/>
        <v/>
      </c>
      <c r="F182" s="1144"/>
      <c r="G182" s="1154"/>
      <c r="H182" s="1146"/>
      <c r="I182" s="1147"/>
      <c r="M182" s="1148"/>
      <c r="N182" s="553">
        <f>IFERROR(VLOOKUP(G182,Ch7_Storage,2, FALSE),0)</f>
        <v>0</v>
      </c>
    </row>
    <row r="183" ht="18.75" customHeight="1">
      <c r="A183" s="373">
        <f>IFERROR(VLOOKUP(H183,PartyStorage,2, FALSE),0)</f>
        <v>0</v>
      </c>
      <c r="B183" s="1149"/>
      <c r="C183" s="1137"/>
      <c r="D183" s="1150"/>
      <c r="E183" s="1136" t="str">
        <f t="shared" si="1"/>
        <v/>
      </c>
      <c r="F183" s="1137"/>
      <c r="G183" s="1151"/>
      <c r="H183" s="1138"/>
      <c r="I183" s="1139"/>
      <c r="M183" s="378"/>
      <c r="N183" s="553">
        <f>IFERROR(VLOOKUP(G183,Ch7_Storage,2, FALSE),0)</f>
        <v>0</v>
      </c>
    </row>
    <row r="184" ht="18.75" customHeight="1">
      <c r="A184" s="373">
        <f>IFERROR(VLOOKUP(H184,PartyStorage,2, FALSE),0)</f>
        <v>0</v>
      </c>
      <c r="B184" s="1152"/>
      <c r="C184" s="1144"/>
      <c r="D184" s="1153"/>
      <c r="E184" s="1143" t="str">
        <f t="shared" si="1"/>
        <v/>
      </c>
      <c r="F184" s="1144"/>
      <c r="G184" s="1154"/>
      <c r="H184" s="1146"/>
      <c r="I184" s="1147"/>
      <c r="M184" s="1148"/>
      <c r="N184" s="553">
        <f>IFERROR(VLOOKUP(G184,Ch7_Storage,2, FALSE),0)</f>
        <v>0</v>
      </c>
    </row>
    <row r="185" ht="18.75" customHeight="1">
      <c r="A185" s="373">
        <f>IFERROR(VLOOKUP(H185,PartyStorage,2, FALSE),0)</f>
        <v>0</v>
      </c>
      <c r="B185" s="1149"/>
      <c r="C185" s="1137"/>
      <c r="D185" s="1150"/>
      <c r="E185" s="1136" t="str">
        <f t="shared" si="1"/>
        <v/>
      </c>
      <c r="F185" s="1137"/>
      <c r="G185" s="1151"/>
      <c r="H185" s="1138"/>
      <c r="I185" s="1139"/>
      <c r="M185" s="378"/>
      <c r="N185" s="553">
        <f>IFERROR(VLOOKUP(G185,Ch7_Storage,2, FALSE),0)</f>
        <v>0</v>
      </c>
    </row>
    <row r="186" ht="18.75" customHeight="1">
      <c r="A186" s="373">
        <f>IFERROR(VLOOKUP(H186,PartyStorage,2, FALSE),0)</f>
        <v>0</v>
      </c>
      <c r="B186" s="1152"/>
      <c r="C186" s="1144"/>
      <c r="D186" s="1153"/>
      <c r="E186" s="1143" t="str">
        <f t="shared" si="1"/>
        <v/>
      </c>
      <c r="F186" s="1144"/>
      <c r="G186" s="1154"/>
      <c r="H186" s="1146"/>
      <c r="I186" s="1147"/>
      <c r="M186" s="1148"/>
      <c r="N186" s="553">
        <f>IFERROR(VLOOKUP(G186,Ch7_Storage,2, FALSE),0)</f>
        <v>0</v>
      </c>
    </row>
    <row r="187" ht="18.75" customHeight="1">
      <c r="A187" s="373">
        <f>IFERROR(VLOOKUP(H187,PartyStorage,2, FALSE),0)</f>
        <v>0</v>
      </c>
      <c r="B187" s="1149"/>
      <c r="C187" s="1137"/>
      <c r="D187" s="1150"/>
      <c r="E187" s="1136" t="str">
        <f t="shared" si="1"/>
        <v/>
      </c>
      <c r="F187" s="1137"/>
      <c r="G187" s="1151"/>
      <c r="H187" s="1138"/>
      <c r="I187" s="1139"/>
      <c r="M187" s="378"/>
      <c r="N187" s="553">
        <f>IFERROR(VLOOKUP(G187,Ch7_Storage,2, FALSE),0)</f>
        <v>0</v>
      </c>
    </row>
    <row r="188" ht="18.75" customHeight="1">
      <c r="A188" s="373">
        <f>IFERROR(VLOOKUP(H188,PartyStorage,2, FALSE),0)</f>
        <v>0</v>
      </c>
      <c r="B188" s="1152"/>
      <c r="C188" s="1144"/>
      <c r="D188" s="1153"/>
      <c r="E188" s="1143" t="str">
        <f t="shared" si="1"/>
        <v/>
      </c>
      <c r="F188" s="1144"/>
      <c r="G188" s="1154"/>
      <c r="H188" s="1146"/>
      <c r="I188" s="1147"/>
      <c r="M188" s="1148"/>
      <c r="N188" s="553">
        <f>IFERROR(VLOOKUP(G188,Ch7_Storage,2, FALSE),0)</f>
        <v>0</v>
      </c>
    </row>
    <row r="189" ht="18.75" customHeight="1">
      <c r="A189" s="373">
        <f>IFERROR(VLOOKUP(H189,PartyStorage,2, FALSE),0)</f>
        <v>0</v>
      </c>
      <c r="B189" s="1149"/>
      <c r="C189" s="1137"/>
      <c r="D189" s="1150"/>
      <c r="E189" s="1136" t="str">
        <f t="shared" si="1"/>
        <v/>
      </c>
      <c r="F189" s="1137"/>
      <c r="G189" s="1151"/>
      <c r="H189" s="1138"/>
      <c r="I189" s="1139"/>
      <c r="M189" s="378"/>
      <c r="N189" s="553">
        <f>IFERROR(VLOOKUP(G189,Ch7_Storage,2, FALSE),0)</f>
        <v>0</v>
      </c>
    </row>
    <row r="190" ht="18.75" customHeight="1">
      <c r="A190" s="373">
        <f>IFERROR(VLOOKUP(H190,PartyStorage,2, FALSE),0)</f>
        <v>0</v>
      </c>
      <c r="B190" s="1152"/>
      <c r="C190" s="1144"/>
      <c r="D190" s="1153"/>
      <c r="E190" s="1143" t="str">
        <f t="shared" si="1"/>
        <v/>
      </c>
      <c r="F190" s="1144"/>
      <c r="G190" s="1154"/>
      <c r="H190" s="1146"/>
      <c r="I190" s="1147"/>
      <c r="M190" s="1148"/>
      <c r="N190" s="553">
        <f>IFERROR(VLOOKUP(G190,Ch7_Storage,2, FALSE),0)</f>
        <v>0</v>
      </c>
    </row>
    <row r="191" ht="18.75" customHeight="1">
      <c r="A191" s="373">
        <f>IFERROR(VLOOKUP(H191,PartyStorage,2, FALSE),0)</f>
        <v>0</v>
      </c>
      <c r="B191" s="1149"/>
      <c r="C191" s="1137"/>
      <c r="D191" s="1150"/>
      <c r="E191" s="1136" t="str">
        <f t="shared" si="1"/>
        <v/>
      </c>
      <c r="F191" s="1137"/>
      <c r="G191" s="1151"/>
      <c r="H191" s="1138"/>
      <c r="I191" s="1139"/>
      <c r="M191" s="378"/>
      <c r="N191" s="553">
        <f>IFERROR(VLOOKUP(G191,Ch7_Storage,2, FALSE),0)</f>
        <v>0</v>
      </c>
    </row>
    <row r="192" ht="18.75" customHeight="1">
      <c r="A192" s="373">
        <f>IFERROR(VLOOKUP(H192,PartyStorage,2, FALSE),0)</f>
        <v>0</v>
      </c>
      <c r="B192" s="1152"/>
      <c r="C192" s="1144"/>
      <c r="D192" s="1153"/>
      <c r="E192" s="1143" t="str">
        <f t="shared" si="1"/>
        <v/>
      </c>
      <c r="F192" s="1144"/>
      <c r="G192" s="1154"/>
      <c r="H192" s="1146"/>
      <c r="I192" s="1147"/>
      <c r="M192" s="1148"/>
      <c r="N192" s="553">
        <f>IFERROR(VLOOKUP(G192,Ch7_Storage,2, FALSE),0)</f>
        <v>0</v>
      </c>
    </row>
    <row r="193" ht="18.75" customHeight="1">
      <c r="A193" s="373">
        <f>IFERROR(VLOOKUP(H193,PartyStorage,2, FALSE),0)</f>
        <v>0</v>
      </c>
      <c r="B193" s="1149"/>
      <c r="C193" s="1137"/>
      <c r="D193" s="1150"/>
      <c r="E193" s="1136" t="str">
        <f t="shared" si="1"/>
        <v/>
      </c>
      <c r="F193" s="1137"/>
      <c r="G193" s="1151"/>
      <c r="H193" s="1138"/>
      <c r="I193" s="1139"/>
      <c r="M193" s="378"/>
      <c r="N193" s="553">
        <f>IFERROR(VLOOKUP(G193,Ch7_Storage,2, FALSE),0)</f>
        <v>0</v>
      </c>
    </row>
    <row r="194" ht="18.75" customHeight="1">
      <c r="A194" s="373">
        <f>IFERROR(VLOOKUP(H194,PartyStorage,2, FALSE),0)</f>
        <v>0</v>
      </c>
      <c r="B194" s="1152"/>
      <c r="C194" s="1144"/>
      <c r="D194" s="1153"/>
      <c r="E194" s="1143" t="str">
        <f t="shared" si="1"/>
        <v/>
      </c>
      <c r="F194" s="1144"/>
      <c r="G194" s="1154"/>
      <c r="H194" s="1146"/>
      <c r="I194" s="1147"/>
      <c r="M194" s="1148"/>
      <c r="N194" s="553">
        <f>IFERROR(VLOOKUP(G194,Ch7_Storage,2, FALSE),0)</f>
        <v>0</v>
      </c>
    </row>
    <row r="195" ht="18.75" customHeight="1">
      <c r="A195" s="373">
        <f>IFERROR(VLOOKUP(H195,PartyStorage,2, FALSE),0)</f>
        <v>0</v>
      </c>
      <c r="B195" s="1149"/>
      <c r="C195" s="1137"/>
      <c r="D195" s="1150"/>
      <c r="E195" s="1136" t="str">
        <f t="shared" si="1"/>
        <v/>
      </c>
      <c r="F195" s="1137"/>
      <c r="G195" s="1151"/>
      <c r="H195" s="1138"/>
      <c r="I195" s="1139"/>
      <c r="M195" s="378"/>
      <c r="N195" s="553">
        <f>IFERROR(VLOOKUP(G195,Ch7_Storage,2, FALSE),0)</f>
        <v>0</v>
      </c>
    </row>
    <row r="196" ht="18.75" customHeight="1">
      <c r="A196" s="373">
        <f>IFERROR(VLOOKUP(H196,PartyStorage,2, FALSE),0)</f>
        <v>0</v>
      </c>
      <c r="B196" s="1152"/>
      <c r="C196" s="1144"/>
      <c r="D196" s="1153"/>
      <c r="E196" s="1143" t="str">
        <f t="shared" si="1"/>
        <v/>
      </c>
      <c r="F196" s="1144"/>
      <c r="G196" s="1154"/>
      <c r="H196" s="1146"/>
      <c r="I196" s="1147"/>
      <c r="M196" s="1148"/>
      <c r="N196" s="553">
        <f>IFERROR(VLOOKUP(G196,Ch7_Storage,2, FALSE),0)</f>
        <v>0</v>
      </c>
    </row>
    <row r="197" ht="18.75" customHeight="1">
      <c r="A197" s="373">
        <f>IFERROR(VLOOKUP(H197,PartyStorage,2, FALSE),0)</f>
        <v>0</v>
      </c>
      <c r="B197" s="1149"/>
      <c r="C197" s="1137"/>
      <c r="D197" s="1150"/>
      <c r="E197" s="1136" t="str">
        <f t="shared" si="1"/>
        <v/>
      </c>
      <c r="F197" s="1137"/>
      <c r="G197" s="1151"/>
      <c r="H197" s="1138"/>
      <c r="I197" s="1139"/>
      <c r="M197" s="378"/>
      <c r="N197" s="553">
        <f>IFERROR(VLOOKUP(G197,Ch7_Storage,2, FALSE),0)</f>
        <v>0</v>
      </c>
    </row>
    <row r="198" ht="18.75" customHeight="1">
      <c r="A198" s="373">
        <f>IFERROR(VLOOKUP(H198,PartyStorage,2, FALSE),0)</f>
        <v>0</v>
      </c>
      <c r="B198" s="1152"/>
      <c r="C198" s="1144"/>
      <c r="D198" s="1153"/>
      <c r="E198" s="1143" t="str">
        <f t="shared" si="1"/>
        <v/>
      </c>
      <c r="F198" s="1144"/>
      <c r="G198" s="1154"/>
      <c r="H198" s="1146"/>
      <c r="I198" s="1147"/>
      <c r="M198" s="1148"/>
      <c r="N198" s="553">
        <f>IFERROR(VLOOKUP(G198,Ch7_Storage,2, FALSE),0)</f>
        <v>0</v>
      </c>
    </row>
    <row r="199" ht="18.75" customHeight="1">
      <c r="A199" s="373">
        <f>IFERROR(VLOOKUP(H199,PartyStorage,2, FALSE),0)</f>
        <v>0</v>
      </c>
      <c r="B199" s="1149"/>
      <c r="C199" s="1137"/>
      <c r="D199" s="1150"/>
      <c r="E199" s="1136" t="str">
        <f t="shared" si="1"/>
        <v/>
      </c>
      <c r="F199" s="1137"/>
      <c r="G199" s="1151"/>
      <c r="H199" s="1138"/>
      <c r="I199" s="1139"/>
      <c r="M199" s="378"/>
      <c r="N199" s="553">
        <f>IFERROR(VLOOKUP(G199,Ch7_Storage,2, FALSE),0)</f>
        <v>0</v>
      </c>
    </row>
    <row r="200" ht="18.75" customHeight="1">
      <c r="A200" s="373">
        <f>IFERROR(VLOOKUP(H200,PartyStorage,2, FALSE),0)</f>
        <v>0</v>
      </c>
      <c r="B200" s="1152"/>
      <c r="C200" s="1144"/>
      <c r="D200" s="1153"/>
      <c r="E200" s="1143" t="str">
        <f t="shared" si="1"/>
        <v/>
      </c>
      <c r="F200" s="1144"/>
      <c r="G200" s="1154"/>
      <c r="H200" s="1146"/>
      <c r="I200" s="1147"/>
      <c r="M200" s="1148"/>
      <c r="N200" s="553">
        <f>IFERROR(VLOOKUP(G200,Ch7_Storage,2, FALSE),0)</f>
        <v>0</v>
      </c>
    </row>
    <row r="201" ht="18.75" customHeight="1">
      <c r="A201" s="373">
        <f>IFERROR(VLOOKUP(H201,PartyStorage,2, FALSE),0)</f>
        <v>0</v>
      </c>
      <c r="B201" s="1149"/>
      <c r="C201" s="1137"/>
      <c r="D201" s="1150"/>
      <c r="E201" s="1136" t="str">
        <f t="shared" si="1"/>
        <v/>
      </c>
      <c r="F201" s="1137"/>
      <c r="G201" s="1151"/>
      <c r="H201" s="1138"/>
      <c r="I201" s="1139"/>
      <c r="M201" s="378"/>
      <c r="N201" s="553">
        <f>IFERROR(VLOOKUP(G201,Ch7_Storage,2, FALSE),0)</f>
        <v>0</v>
      </c>
    </row>
    <row r="202" ht="18.75" customHeight="1">
      <c r="A202" s="373">
        <f>IFERROR(VLOOKUP(H202,PartyStorage,2, FALSE),0)</f>
        <v>0</v>
      </c>
      <c r="B202" s="1152"/>
      <c r="C202" s="1144"/>
      <c r="D202" s="1153"/>
      <c r="E202" s="1143" t="str">
        <f t="shared" si="1"/>
        <v/>
      </c>
      <c r="F202" s="1144"/>
      <c r="G202" s="1154"/>
      <c r="H202" s="1146"/>
      <c r="I202" s="1147"/>
      <c r="M202" s="1148"/>
      <c r="N202" s="553">
        <f>IFERROR(VLOOKUP(G202,Ch7_Storage,2, FALSE),0)</f>
        <v>0</v>
      </c>
    </row>
    <row r="203" ht="18.75" customHeight="1">
      <c r="A203" s="373">
        <f>IFERROR(VLOOKUP(H203,PartyStorage,2, FALSE),0)</f>
        <v>0</v>
      </c>
      <c r="B203" s="1149"/>
      <c r="C203" s="1137"/>
      <c r="D203" s="1150"/>
      <c r="E203" s="1136" t="str">
        <f t="shared" si="1"/>
        <v/>
      </c>
      <c r="F203" s="1137"/>
      <c r="G203" s="1151"/>
      <c r="H203" s="1138"/>
      <c r="I203" s="1139"/>
      <c r="M203" s="378"/>
      <c r="N203" s="553">
        <f>IFERROR(VLOOKUP(G203,Ch7_Storage,2, FALSE),0)</f>
        <v>0</v>
      </c>
    </row>
    <row r="204" ht="18.75" customHeight="1">
      <c r="A204" s="373">
        <f>IFERROR(VLOOKUP(H204,PartyStorage,2, FALSE),0)</f>
        <v>0</v>
      </c>
      <c r="B204" s="1152"/>
      <c r="C204" s="1144"/>
      <c r="D204" s="1153"/>
      <c r="E204" s="1143" t="str">
        <f t="shared" si="1"/>
        <v/>
      </c>
      <c r="F204" s="1144"/>
      <c r="G204" s="1154"/>
      <c r="H204" s="1146"/>
      <c r="I204" s="1147"/>
      <c r="M204" s="1148"/>
      <c r="N204" s="553">
        <f>IFERROR(VLOOKUP(G204,Ch7_Storage,2, FALSE),0)</f>
        <v>0</v>
      </c>
    </row>
    <row r="205" ht="18.75" customHeight="1">
      <c r="A205" s="373">
        <f>IFERROR(VLOOKUP(H205,PartyStorage,2, FALSE),0)</f>
        <v>0</v>
      </c>
      <c r="B205" s="1149"/>
      <c r="C205" s="1137"/>
      <c r="D205" s="1150"/>
      <c r="E205" s="1136" t="str">
        <f t="shared" si="1"/>
        <v/>
      </c>
      <c r="F205" s="1137"/>
      <c r="G205" s="1151"/>
      <c r="H205" s="1138"/>
      <c r="I205" s="1139"/>
      <c r="M205" s="378"/>
      <c r="N205" s="553">
        <f>IFERROR(VLOOKUP(G205,Ch7_Storage,2, FALSE),0)</f>
        <v>0</v>
      </c>
    </row>
    <row r="206" ht="18.75" customHeight="1">
      <c r="A206" s="373">
        <f>IFERROR(VLOOKUP(H206,PartyStorage,2, FALSE),0)</f>
        <v>0</v>
      </c>
      <c r="B206" s="1152"/>
      <c r="C206" s="1144"/>
      <c r="D206" s="1153"/>
      <c r="E206" s="1143" t="str">
        <f t="shared" si="1"/>
        <v/>
      </c>
      <c r="F206" s="1144"/>
      <c r="G206" s="1154"/>
      <c r="H206" s="1146"/>
      <c r="I206" s="1147"/>
      <c r="M206" s="1148"/>
      <c r="N206" s="553">
        <f>IFERROR(VLOOKUP(G206,Ch7_Storage,2, FALSE),0)</f>
        <v>0</v>
      </c>
    </row>
    <row r="207" ht="18.75" customHeight="1">
      <c r="A207" s="373">
        <f>IFERROR(VLOOKUP(H207,PartyStorage,2, FALSE),0)</f>
        <v>0</v>
      </c>
      <c r="B207" s="1149"/>
      <c r="C207" s="1137"/>
      <c r="D207" s="1150"/>
      <c r="E207" s="1136" t="str">
        <f t="shared" si="1"/>
        <v/>
      </c>
      <c r="F207" s="1137"/>
      <c r="G207" s="1151"/>
      <c r="H207" s="1138"/>
      <c r="I207" s="1139"/>
      <c r="M207" s="378"/>
      <c r="N207" s="553">
        <f>IFERROR(VLOOKUP(G207,Ch7_Storage,2, FALSE),0)</f>
        <v>0</v>
      </c>
    </row>
    <row r="208" ht="18.75" customHeight="1">
      <c r="A208" s="373">
        <f>IFERROR(VLOOKUP(H208,PartyStorage,2, FALSE),0)</f>
        <v>0</v>
      </c>
      <c r="B208" s="1155"/>
      <c r="C208" s="1156"/>
      <c r="D208" s="1157"/>
      <c r="E208" s="1158" t="str">
        <f t="shared" si="1"/>
        <v/>
      </c>
      <c r="F208" s="1156"/>
      <c r="G208" s="1159"/>
      <c r="H208" s="1160"/>
      <c r="I208" s="1161"/>
      <c r="J208" s="1162"/>
      <c r="K208" s="1162"/>
      <c r="L208" s="1162"/>
      <c r="M208" s="1163"/>
      <c r="N208" s="553">
        <f>IFERROR(VLOOKUP(G208,Ch7_Storage,2, FALSE),0)</f>
        <v>0</v>
      </c>
    </row>
    <row r="209" ht="7.5" customHeight="1">
      <c r="A209" s="380"/>
      <c r="B209" s="261"/>
      <c r="C209" s="261"/>
      <c r="D209" s="261"/>
      <c r="E209" s="261"/>
      <c r="F209" s="261"/>
      <c r="G209" s="261"/>
      <c r="H209" s="261"/>
      <c r="I209" s="261"/>
      <c r="J209" s="261"/>
      <c r="K209" s="261"/>
      <c r="L209" s="261"/>
      <c r="M209" s="261"/>
      <c r="N209" s="553"/>
    </row>
  </sheetData>
  <mergeCells count="197">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93:M193"/>
    <mergeCell ref="I194:M194"/>
    <mergeCell ref="I195:M195"/>
    <mergeCell ref="I196:M196"/>
    <mergeCell ref="I197:M197"/>
    <mergeCell ref="I198:M198"/>
    <mergeCell ref="I199:M199"/>
    <mergeCell ref="I207:M207"/>
    <mergeCell ref="I208:M208"/>
    <mergeCell ref="I200:M200"/>
    <mergeCell ref="I201:M201"/>
    <mergeCell ref="I202:M202"/>
    <mergeCell ref="I203:M203"/>
    <mergeCell ref="I204:M204"/>
    <mergeCell ref="I205:M205"/>
    <mergeCell ref="I206:M206"/>
    <mergeCell ref="I144:M144"/>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13" priority="4">
      <formula>IF($N$2="",true,false)</formula>
    </cfRule>
  </conditionalFormatting>
  <conditionalFormatting sqref="K3:M7">
    <cfRule type="expression" dxfId="14" priority="5">
      <formula>IF($N$2="",true,false)</formula>
    </cfRule>
  </conditionalFormatting>
  <dataValidations>
    <dataValidation type="list" allowBlank="1" showErrorMessage="1" sqref="H27:H208">
      <formula1>PartyStorageSingle</formula1>
    </dataValidation>
    <dataValidation type="list" allowBlank="1" showInputMessage="1" showErrorMessage="1" prompt="Every item must have a PC or party storage location" sqref="G27:G208">
      <formula1>'Character Info'!$L$32:$L$41</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showGridLines="0" workbookViewId="0"/>
  </sheetViews>
  <sheetFormatPr customHeight="1" defaultColWidth="14.43" defaultRowHeight="15.75"/>
  <cols>
    <col customWidth="1" min="1" max="1" width="1.57"/>
    <col customWidth="1" min="2" max="2" width="7.29"/>
    <col customWidth="1" min="3" max="3" width="24.43"/>
    <col customWidth="1" min="4" max="13" width="15.86"/>
    <col customWidth="1" min="14" max="14" width="1.57"/>
    <col hidden="1" min="15" max="28" width="14.43"/>
  </cols>
  <sheetData>
    <row r="1" ht="7.5" customHeight="1">
      <c r="A1" s="436" t="str">
        <f>Ch9_Name</f>
        <v/>
      </c>
      <c r="B1" s="437"/>
      <c r="C1" s="438"/>
      <c r="D1" s="438"/>
      <c r="E1" s="248" t="s">
        <v>62</v>
      </c>
      <c r="F1" s="438"/>
      <c r="G1" s="439"/>
      <c r="H1" s="439"/>
      <c r="I1" s="440" t="s">
        <v>63</v>
      </c>
      <c r="J1" s="426"/>
      <c r="K1" s="439"/>
      <c r="L1" s="439"/>
      <c r="M1" s="439"/>
      <c r="N1" s="439"/>
      <c r="O1" s="439"/>
      <c r="P1" s="439"/>
      <c r="Q1" s="439"/>
      <c r="R1" s="439"/>
      <c r="S1" s="439"/>
      <c r="T1" s="439"/>
      <c r="U1" s="439"/>
      <c r="V1" s="439"/>
      <c r="W1" s="439"/>
      <c r="X1" s="439"/>
      <c r="Y1" s="439"/>
      <c r="Z1" s="439"/>
      <c r="AA1" s="439"/>
      <c r="AB1" s="439"/>
    </row>
    <row r="2" ht="18.75" customHeight="1">
      <c r="A2" s="543" t="str">
        <f>IF(ISBLANK(Ch9_Size),"",VLOOKUP(Ch9_Size,SizeMultipliers,2, FALSE))</f>
        <v/>
      </c>
      <c r="B2" s="1164" t="s">
        <v>64</v>
      </c>
      <c r="C2" s="1165"/>
      <c r="D2" s="1166"/>
      <c r="E2" s="443" t="str">
        <f>IMAGE(E1,1)</f>
        <v/>
      </c>
      <c r="G2" s="1167" t="s">
        <v>65</v>
      </c>
      <c r="H2" s="1168"/>
      <c r="I2" s="446" t="str">
        <f>IMAGE(I1,1)</f>
        <v/>
      </c>
      <c r="K2" s="1164" t="str">
        <f>IF(ISBLANK(Ch9_MountName),"Mount",Ch9_MountName)&amp;"'s Encumbrance"</f>
        <v>Mount's Encumbrance</v>
      </c>
      <c r="L2" s="198"/>
      <c r="M2" s="199"/>
      <c r="N2" s="348" t="str">
        <f>IF(ISBLANK(Ch9_MountSize),"",VLOOKUP(Ch9_MountSize,SizeMultipliers,2, FALSE))</f>
        <v/>
      </c>
    </row>
    <row r="3" ht="18.75" customHeight="1">
      <c r="A3" s="289"/>
      <c r="B3" s="352" t="s">
        <v>53</v>
      </c>
      <c r="C3" s="353"/>
      <c r="D3" s="1169">
        <f>Ch9_Str*Ch9_SizeMultiplier*5</f>
        <v>0</v>
      </c>
      <c r="G3" s="1170" t="s">
        <v>66</v>
      </c>
      <c r="H3" s="1171">
        <v>0.0</v>
      </c>
      <c r="K3" s="352" t="s">
        <v>53</v>
      </c>
      <c r="L3" s="353"/>
      <c r="M3" s="1169">
        <f>Ch9_MountStr*Ch9_MountSizeMult*5</f>
        <v>0</v>
      </c>
      <c r="N3" s="553"/>
    </row>
    <row r="4" ht="18.75" customHeight="1">
      <c r="A4" s="289"/>
      <c r="B4" s="1172" t="s">
        <v>55</v>
      </c>
      <c r="C4" s="1173"/>
      <c r="D4" s="1174">
        <f>Ch9_Str*Ch9_SizeMultiplier*10</f>
        <v>0</v>
      </c>
      <c r="G4" s="1175" t="s">
        <v>67</v>
      </c>
      <c r="H4" s="1171">
        <f>(VLOOKUP(ADD(Ch9_Level,1),XPTable_v,2))-Ch9_XP</f>
        <v>300</v>
      </c>
      <c r="K4" s="1172" t="s">
        <v>55</v>
      </c>
      <c r="L4" s="1173"/>
      <c r="M4" s="1174">
        <f>Ch9_MountStr*Ch9_MountSizeMult*10</f>
        <v>0</v>
      </c>
      <c r="N4" s="553"/>
    </row>
    <row r="5" ht="18.75" customHeight="1">
      <c r="A5" s="289"/>
      <c r="B5" s="352" t="s">
        <v>17</v>
      </c>
      <c r="C5" s="353"/>
      <c r="D5" s="1169">
        <f>Ch9_Str*Ch9_SizeMultiplier*15</f>
        <v>0</v>
      </c>
      <c r="G5" s="1176" t="s">
        <v>68</v>
      </c>
      <c r="H5" s="1177">
        <f>MATCH(Ch9_XP,XPTable_m,2)</f>
        <v>1</v>
      </c>
      <c r="K5" s="352" t="s">
        <v>17</v>
      </c>
      <c r="L5" s="353"/>
      <c r="M5" s="1169">
        <f>Ch9_MountStr*Ch9_MountSizeMult*15</f>
        <v>0</v>
      </c>
      <c r="N5" s="553"/>
    </row>
    <row r="6" ht="18.75" customHeight="1">
      <c r="A6" s="289"/>
      <c r="B6" s="1172" t="s">
        <v>57</v>
      </c>
      <c r="C6" s="1173"/>
      <c r="D6" s="1174">
        <f>Ch9_Str*Ch9_SizeMultiplier*30</f>
        <v>0</v>
      </c>
      <c r="G6" s="17"/>
      <c r="H6" s="17"/>
      <c r="K6" s="1172" t="s">
        <v>57</v>
      </c>
      <c r="L6" s="1173"/>
      <c r="M6" s="1174">
        <f>Ch9_MountStr*Ch9_MountSizeMult*30</f>
        <v>0</v>
      </c>
      <c r="N6" s="553"/>
    </row>
    <row r="7" ht="18.75" customHeight="1">
      <c r="A7" s="289"/>
      <c r="B7" s="457" t="s">
        <v>43</v>
      </c>
      <c r="C7" s="1178"/>
      <c r="D7" s="1179">
        <f t="array" ref="D7">SUMIF(Ch9_EquipStatus,"=On Character",Ch9_InventoryWeights)</f>
        <v>0</v>
      </c>
      <c r="G7" s="1180" t="s">
        <v>30</v>
      </c>
      <c r="H7" s="461">
        <f>SUM(G11:G15,G19:G24)</f>
        <v>0</v>
      </c>
      <c r="K7" s="369" t="s">
        <v>43</v>
      </c>
      <c r="L7" s="1178"/>
      <c r="M7" s="1181">
        <f t="array" ref="M7">SUMIF(Ch9_EquipStatus,"=On Mount",Ch9_InventoryWeights)+++IF( NOT(EQ(N2,"")),D7+Ch9_Weight,"")</f>
        <v>0</v>
      </c>
      <c r="N7" s="553"/>
    </row>
    <row r="8" ht="7.5" customHeight="1">
      <c r="A8" s="289"/>
      <c r="B8" s="463"/>
      <c r="C8" s="464"/>
      <c r="D8" s="465"/>
      <c r="E8" s="464"/>
      <c r="F8" s="464"/>
      <c r="G8" s="464"/>
      <c r="H8" s="464"/>
      <c r="I8" s="466"/>
      <c r="J8" s="467"/>
      <c r="K8" s="467"/>
      <c r="L8" s="467"/>
      <c r="M8" s="467"/>
      <c r="N8" s="553"/>
    </row>
    <row r="9" ht="18.75" customHeight="1">
      <c r="A9" s="289"/>
      <c r="B9" s="1182" t="s">
        <v>28</v>
      </c>
      <c r="C9" s="1183"/>
      <c r="D9" s="1184" t="s">
        <v>29</v>
      </c>
      <c r="E9" s="1185"/>
      <c r="F9" s="1185"/>
      <c r="G9" s="1185"/>
      <c r="H9" s="1185"/>
      <c r="I9" s="1186"/>
      <c r="J9" s="1187"/>
      <c r="K9" s="1187"/>
      <c r="L9" s="1187"/>
      <c r="M9" s="1188"/>
      <c r="N9" s="553"/>
    </row>
    <row r="10" ht="18.75" customHeight="1">
      <c r="A10" s="289"/>
      <c r="B10" s="1189" t="s">
        <v>31</v>
      </c>
      <c r="C10" s="1190" t="s">
        <v>11</v>
      </c>
      <c r="D10" s="1190" t="s">
        <v>32</v>
      </c>
      <c r="E10" s="1190" t="s">
        <v>33</v>
      </c>
      <c r="F10" s="1190" t="s">
        <v>34</v>
      </c>
      <c r="G10" s="1190" t="s">
        <v>35</v>
      </c>
      <c r="H10" s="1190" t="s">
        <v>36</v>
      </c>
      <c r="I10" s="1190" t="s">
        <v>37</v>
      </c>
      <c r="J10" s="1190" t="s">
        <v>38</v>
      </c>
      <c r="K10" s="1190" t="s">
        <v>39</v>
      </c>
      <c r="L10" s="1190" t="s">
        <v>40</v>
      </c>
      <c r="M10" s="1191" t="s">
        <v>41</v>
      </c>
      <c r="N10" s="329"/>
    </row>
    <row r="11" ht="18.75" customHeight="1">
      <c r="A11" s="289"/>
      <c r="B11" s="1192">
        <v>0.0</v>
      </c>
      <c r="C11" s="1193" t="s">
        <v>42</v>
      </c>
      <c r="D11" s="1194">
        <f>B11</f>
        <v>0</v>
      </c>
      <c r="E11" s="1195">
        <f>B11/10</f>
        <v>0</v>
      </c>
      <c r="F11" s="1195">
        <f>B11/50</f>
        <v>0</v>
      </c>
      <c r="G11" s="1195">
        <f>B11/100</f>
        <v>0</v>
      </c>
      <c r="H11" s="1195">
        <f>B11/1000</f>
        <v>0</v>
      </c>
      <c r="I11" s="1196">
        <f>B11/5000</f>
        <v>0</v>
      </c>
      <c r="J11" s="1197">
        <f>B11/10000</f>
        <v>0</v>
      </c>
      <c r="K11" s="1197">
        <f>B11/50000</f>
        <v>0</v>
      </c>
      <c r="L11" s="1197">
        <f>B11/100000</f>
        <v>0</v>
      </c>
      <c r="M11" s="1198">
        <f>B11/500000</f>
        <v>0</v>
      </c>
      <c r="N11" s="553"/>
    </row>
    <row r="12" ht="18.75" customHeight="1">
      <c r="A12" s="289"/>
      <c r="B12" s="1192">
        <v>0.0</v>
      </c>
      <c r="C12" s="1193" t="s">
        <v>44</v>
      </c>
      <c r="D12" s="1195">
        <f>B12*10</f>
        <v>0</v>
      </c>
      <c r="E12" s="1194">
        <f>B12</f>
        <v>0</v>
      </c>
      <c r="F12" s="1195">
        <f>B12/5</f>
        <v>0</v>
      </c>
      <c r="G12" s="1195">
        <f>B12/10</f>
        <v>0</v>
      </c>
      <c r="H12" s="1195">
        <f>B12/100</f>
        <v>0</v>
      </c>
      <c r="I12" s="1195">
        <f>B12/500</f>
        <v>0</v>
      </c>
      <c r="J12" s="1195">
        <f>B12/1000</f>
        <v>0</v>
      </c>
      <c r="K12" s="1195">
        <f>B12/5000</f>
        <v>0</v>
      </c>
      <c r="L12" s="1195">
        <f>B12/10000</f>
        <v>0</v>
      </c>
      <c r="M12" s="1199">
        <f>B12/50000</f>
        <v>0</v>
      </c>
      <c r="N12" s="553"/>
    </row>
    <row r="13" ht="18.75" customHeight="1">
      <c r="A13" s="289"/>
      <c r="B13" s="1192">
        <v>0.0</v>
      </c>
      <c r="C13" s="1193" t="s">
        <v>45</v>
      </c>
      <c r="D13" s="1195">
        <f>B13*50</f>
        <v>0</v>
      </c>
      <c r="E13" s="1195">
        <f>B13*5</f>
        <v>0</v>
      </c>
      <c r="F13" s="1194">
        <f>B13</f>
        <v>0</v>
      </c>
      <c r="G13" s="1195">
        <f>B13/2</f>
        <v>0</v>
      </c>
      <c r="H13" s="1195">
        <f>B13/20</f>
        <v>0</v>
      </c>
      <c r="I13" s="1195">
        <f>B13/100</f>
        <v>0</v>
      </c>
      <c r="J13" s="1197">
        <f>B13/200</f>
        <v>0</v>
      </c>
      <c r="K13" s="1197">
        <f>B13/1000</f>
        <v>0</v>
      </c>
      <c r="L13" s="1197">
        <f>B13/2000</f>
        <v>0</v>
      </c>
      <c r="M13" s="1198">
        <f>B13/10000</f>
        <v>0</v>
      </c>
      <c r="N13" s="553"/>
    </row>
    <row r="14" ht="18.75" customHeight="1">
      <c r="A14" s="289"/>
      <c r="B14" s="1192">
        <v>0.0</v>
      </c>
      <c r="C14" s="1193" t="s">
        <v>46</v>
      </c>
      <c r="D14" s="1195">
        <f>B14*100</f>
        <v>0</v>
      </c>
      <c r="E14" s="1195">
        <f>B14*10</f>
        <v>0</v>
      </c>
      <c r="F14" s="1195">
        <f>B14*2</f>
        <v>0</v>
      </c>
      <c r="G14" s="1194">
        <f>B14</f>
        <v>0</v>
      </c>
      <c r="H14" s="1195">
        <f>B14/10</f>
        <v>0</v>
      </c>
      <c r="I14" s="1195">
        <f>B14/50</f>
        <v>0</v>
      </c>
      <c r="J14" s="1197">
        <f>B14/100</f>
        <v>0</v>
      </c>
      <c r="K14" s="1197">
        <f>B14/500</f>
        <v>0</v>
      </c>
      <c r="L14" s="1197">
        <f>B14/1000</f>
        <v>0</v>
      </c>
      <c r="M14" s="1198">
        <f>B14/5000</f>
        <v>0</v>
      </c>
      <c r="N14" s="553"/>
    </row>
    <row r="15" ht="18.75" customHeight="1">
      <c r="A15" s="289"/>
      <c r="B15" s="1200">
        <v>0.0</v>
      </c>
      <c r="C15" s="1201" t="s">
        <v>47</v>
      </c>
      <c r="D15" s="1202">
        <f>B15*1000</f>
        <v>0</v>
      </c>
      <c r="E15" s="1202">
        <f>B15*100</f>
        <v>0</v>
      </c>
      <c r="F15" s="1202">
        <f>B15*20</f>
        <v>0</v>
      </c>
      <c r="G15" s="1202">
        <f>B15*10</f>
        <v>0</v>
      </c>
      <c r="H15" s="1202">
        <f>B15*1</f>
        <v>0</v>
      </c>
      <c r="I15" s="1202">
        <f>B15/5</f>
        <v>0</v>
      </c>
      <c r="J15" s="1203">
        <f>B15/10</f>
        <v>0</v>
      </c>
      <c r="K15" s="1203">
        <f>B15/50</f>
        <v>0</v>
      </c>
      <c r="L15" s="1203">
        <f>B15/100</f>
        <v>0</v>
      </c>
      <c r="M15" s="1204">
        <f>B15/500</f>
        <v>0</v>
      </c>
      <c r="N15" s="553"/>
    </row>
    <row r="16" ht="7.5" customHeight="1">
      <c r="A16" s="289"/>
      <c r="B16" s="338"/>
      <c r="C16" s="339"/>
      <c r="D16" s="339"/>
      <c r="E16" s="339"/>
      <c r="F16" s="339"/>
      <c r="G16" s="339"/>
      <c r="H16" s="339"/>
      <c r="I16" s="339"/>
      <c r="J16" s="340"/>
      <c r="K16" s="340"/>
      <c r="L16" s="340"/>
      <c r="M16" s="340"/>
      <c r="N16" s="589"/>
      <c r="O16" s="114"/>
      <c r="P16" s="114"/>
      <c r="Q16" s="114"/>
      <c r="R16" s="114"/>
      <c r="S16" s="114"/>
      <c r="T16" s="114"/>
      <c r="U16" s="114"/>
      <c r="V16" s="114"/>
      <c r="W16" s="114"/>
      <c r="X16" s="114"/>
      <c r="Y16" s="114"/>
      <c r="Z16" s="114"/>
      <c r="AA16" s="114"/>
      <c r="AB16" s="114"/>
    </row>
    <row r="17" ht="18.75" customHeight="1">
      <c r="A17" s="289"/>
      <c r="B17" s="1182" t="s">
        <v>48</v>
      </c>
      <c r="C17" s="1185"/>
      <c r="D17" s="1184" t="s">
        <v>29</v>
      </c>
      <c r="E17" s="1185"/>
      <c r="F17" s="1185"/>
      <c r="G17" s="1185"/>
      <c r="H17" s="1185"/>
      <c r="I17" s="1185"/>
      <c r="J17" s="1187"/>
      <c r="K17" s="1187"/>
      <c r="L17" s="1187"/>
      <c r="M17" s="1188"/>
      <c r="N17" s="553"/>
    </row>
    <row r="18" ht="18.75" customHeight="1">
      <c r="A18" s="289"/>
      <c r="B18" s="1189" t="s">
        <v>31</v>
      </c>
      <c r="C18" s="1190" t="s">
        <v>11</v>
      </c>
      <c r="D18" s="1190" t="s">
        <v>32</v>
      </c>
      <c r="E18" s="1190" t="s">
        <v>33</v>
      </c>
      <c r="F18" s="1190" t="s">
        <v>34</v>
      </c>
      <c r="G18" s="1190" t="s">
        <v>35</v>
      </c>
      <c r="H18" s="1190" t="s">
        <v>36</v>
      </c>
      <c r="I18" s="1190" t="s">
        <v>37</v>
      </c>
      <c r="J18" s="1190" t="s">
        <v>38</v>
      </c>
      <c r="K18" s="1190" t="s">
        <v>39</v>
      </c>
      <c r="L18" s="1190" t="s">
        <v>40</v>
      </c>
      <c r="M18" s="1191" t="s">
        <v>41</v>
      </c>
      <c r="N18" s="553"/>
    </row>
    <row r="19" ht="18.75" customHeight="1">
      <c r="A19" s="289"/>
      <c r="B19" s="1192">
        <v>0.0</v>
      </c>
      <c r="C19" s="1193" t="s">
        <v>49</v>
      </c>
      <c r="D19" s="1195">
        <f>B19*1000</f>
        <v>0</v>
      </c>
      <c r="E19" s="1195">
        <f>B19*100</f>
        <v>0</v>
      </c>
      <c r="F19" s="1195">
        <f>B19*20</f>
        <v>0</v>
      </c>
      <c r="G19" s="1195">
        <f>B19*10</f>
        <v>0</v>
      </c>
      <c r="H19" s="1195">
        <f>B19*1</f>
        <v>0</v>
      </c>
      <c r="I19" s="1195">
        <f>B19/5</f>
        <v>0</v>
      </c>
      <c r="J19" s="1197">
        <f>B19/10</f>
        <v>0</v>
      </c>
      <c r="K19" s="1197">
        <f>B19/50</f>
        <v>0</v>
      </c>
      <c r="L19" s="1197">
        <f>B19/100</f>
        <v>0</v>
      </c>
      <c r="M19" s="1198">
        <f>B19/500</f>
        <v>0</v>
      </c>
      <c r="N19" s="553"/>
    </row>
    <row r="20" ht="18.75" customHeight="1">
      <c r="A20" s="289"/>
      <c r="B20" s="1192">
        <v>0.0</v>
      </c>
      <c r="C20" s="1193" t="s">
        <v>50</v>
      </c>
      <c r="D20" s="1195">
        <f>B20*5000</f>
        <v>0</v>
      </c>
      <c r="E20" s="1195">
        <f>B20*500</f>
        <v>0</v>
      </c>
      <c r="F20" s="1195">
        <f>B20*100</f>
        <v>0</v>
      </c>
      <c r="G20" s="1195">
        <f>B20*50</f>
        <v>0</v>
      </c>
      <c r="H20" s="1195">
        <f>B20*5</f>
        <v>0</v>
      </c>
      <c r="I20" s="1194">
        <f>B20</f>
        <v>0</v>
      </c>
      <c r="J20" s="1197">
        <f>B20/2</f>
        <v>0</v>
      </c>
      <c r="K20" s="1197">
        <f>B20/10</f>
        <v>0</v>
      </c>
      <c r="L20" s="1197">
        <f>B20/20</f>
        <v>0</v>
      </c>
      <c r="M20" s="1198">
        <f>B20/100</f>
        <v>0</v>
      </c>
      <c r="N20" s="553"/>
    </row>
    <row r="21" ht="18.75" customHeight="1">
      <c r="A21" s="289"/>
      <c r="B21" s="1192">
        <v>0.0</v>
      </c>
      <c r="C21" s="1193" t="s">
        <v>51</v>
      </c>
      <c r="D21" s="1195">
        <f>B21*10000</f>
        <v>0</v>
      </c>
      <c r="E21" s="1195">
        <f>B21*1000</f>
        <v>0</v>
      </c>
      <c r="F21" s="1195">
        <f>B21*200</f>
        <v>0</v>
      </c>
      <c r="G21" s="1195">
        <f>B21*100</f>
        <v>0</v>
      </c>
      <c r="H21" s="1195">
        <f>B21*10</f>
        <v>0</v>
      </c>
      <c r="I21" s="1195">
        <f>B21/5*10</f>
        <v>0</v>
      </c>
      <c r="J21" s="1205">
        <f>B21</f>
        <v>0</v>
      </c>
      <c r="K21" s="1197">
        <f>B21/5</f>
        <v>0</v>
      </c>
      <c r="L21" s="1197">
        <f>B21/10</f>
        <v>0</v>
      </c>
      <c r="M21" s="1198">
        <f>B21/50</f>
        <v>0</v>
      </c>
      <c r="N21" s="553"/>
    </row>
    <row r="22" ht="18.75" customHeight="1">
      <c r="A22" s="289"/>
      <c r="B22" s="1192">
        <v>0.0</v>
      </c>
      <c r="C22" s="1193" t="s">
        <v>52</v>
      </c>
      <c r="D22" s="1195">
        <f>B22*50000</f>
        <v>0</v>
      </c>
      <c r="E22" s="1195">
        <f>B22*5000</f>
        <v>0</v>
      </c>
      <c r="F22" s="1195">
        <f>B22*1000</f>
        <v>0</v>
      </c>
      <c r="G22" s="1195">
        <f>B22*500</f>
        <v>0</v>
      </c>
      <c r="H22" s="1195">
        <f>B22*50</f>
        <v>0</v>
      </c>
      <c r="I22" s="1195">
        <f>B22*10</f>
        <v>0</v>
      </c>
      <c r="J22" s="1197">
        <f>B22/2*10</f>
        <v>0</v>
      </c>
      <c r="K22" s="1205">
        <f>B22</f>
        <v>0</v>
      </c>
      <c r="L22" s="1197">
        <f>B22/2</f>
        <v>0</v>
      </c>
      <c r="M22" s="1198">
        <f>B22/10</f>
        <v>0</v>
      </c>
      <c r="N22" s="553"/>
    </row>
    <row r="23" ht="18.75" customHeight="1">
      <c r="A23" s="289"/>
      <c r="B23" s="1192">
        <v>0.0</v>
      </c>
      <c r="C23" s="1193" t="s">
        <v>54</v>
      </c>
      <c r="D23" s="1195">
        <f>B23*100000</f>
        <v>0</v>
      </c>
      <c r="E23" s="1195">
        <f>B23*10000</f>
        <v>0</v>
      </c>
      <c r="F23" s="1195">
        <f>B23*2000</f>
        <v>0</v>
      </c>
      <c r="G23" s="1195">
        <f>B23*1000</f>
        <v>0</v>
      </c>
      <c r="H23" s="1195">
        <f>B23*100</f>
        <v>0</v>
      </c>
      <c r="I23" s="1195">
        <f>B23/5*100</f>
        <v>0</v>
      </c>
      <c r="J23" s="1197">
        <f>B23*10</f>
        <v>0</v>
      </c>
      <c r="K23" s="1197">
        <f>B23/5*10</f>
        <v>0</v>
      </c>
      <c r="L23" s="1205">
        <f>B23</f>
        <v>0</v>
      </c>
      <c r="M23" s="1198">
        <f>B23/5</f>
        <v>0</v>
      </c>
      <c r="N23" s="553"/>
    </row>
    <row r="24" ht="18.75" customHeight="1">
      <c r="A24" s="289"/>
      <c r="B24" s="1200">
        <v>0.0</v>
      </c>
      <c r="C24" s="1201" t="s">
        <v>56</v>
      </c>
      <c r="D24" s="1202">
        <f>B24*500000</f>
        <v>0</v>
      </c>
      <c r="E24" s="1202">
        <f>B24*50000</f>
        <v>0</v>
      </c>
      <c r="F24" s="1202">
        <f>B24*10000</f>
        <v>0</v>
      </c>
      <c r="G24" s="1202">
        <f>B24*5000</f>
        <v>0</v>
      </c>
      <c r="H24" s="1202">
        <f>B24*500</f>
        <v>0</v>
      </c>
      <c r="I24" s="1202">
        <f>B24*100</f>
        <v>0</v>
      </c>
      <c r="J24" s="1203">
        <f>B24/2*100</f>
        <v>0</v>
      </c>
      <c r="K24" s="1203">
        <f>B24*10</f>
        <v>0</v>
      </c>
      <c r="L24" s="1203">
        <f>B24/2*10</f>
        <v>0</v>
      </c>
      <c r="M24" s="1206">
        <f>B24</f>
        <v>0</v>
      </c>
      <c r="N24" s="553"/>
    </row>
    <row r="25" ht="7.5" customHeight="1">
      <c r="A25" s="289"/>
      <c r="B25" s="364"/>
      <c r="C25" s="13"/>
      <c r="D25" s="13"/>
      <c r="E25" s="13"/>
      <c r="F25" s="13"/>
      <c r="G25" s="13"/>
      <c r="H25" s="13"/>
      <c r="I25" s="13"/>
      <c r="J25" s="261"/>
      <c r="K25" s="261"/>
      <c r="L25" s="261"/>
      <c r="M25" s="261"/>
      <c r="N25" s="553"/>
    </row>
    <row r="26" ht="18.75" customHeight="1">
      <c r="A26" s="289"/>
      <c r="B26" s="1207" t="s">
        <v>31</v>
      </c>
      <c r="C26" s="1208" t="s">
        <v>58</v>
      </c>
      <c r="D26" s="1208" t="s">
        <v>59</v>
      </c>
      <c r="E26" s="1208" t="s">
        <v>60</v>
      </c>
      <c r="F26" s="1208" t="s">
        <v>61</v>
      </c>
      <c r="G26" s="1208" t="s">
        <v>69</v>
      </c>
      <c r="H26" s="1209" t="s">
        <v>70</v>
      </c>
      <c r="I26" s="1210" t="s">
        <v>71</v>
      </c>
      <c r="J26" s="198"/>
      <c r="K26" s="198"/>
      <c r="L26" s="198"/>
      <c r="M26" s="199"/>
      <c r="N26" s="597"/>
    </row>
    <row r="27" ht="18.75" customHeight="1">
      <c r="A27" s="598">
        <f>IFERROR(VLOOKUP(H27,PartyStorage,2, FALSE),0)</f>
        <v>0</v>
      </c>
      <c r="B27" s="712">
        <f>sum(Ch9_Money)</f>
        <v>0</v>
      </c>
      <c r="C27" s="485" t="s">
        <v>28</v>
      </c>
      <c r="D27" s="509">
        <v>0.02</v>
      </c>
      <c r="E27" s="1211">
        <f t="shared" ref="E27:E208" si="1">IF(ISBLANK(C27),"",IF(ISBLANK(B27),D27,D27*B27))</f>
        <v>0</v>
      </c>
      <c r="F27" s="1212"/>
      <c r="G27" s="510"/>
      <c r="H27" s="1213"/>
      <c r="I27" s="1214"/>
      <c r="M27" s="378"/>
      <c r="N27" s="553">
        <f>IFERROR(VLOOKUP(G27,Ch9_Storage,2, FALSE),0)</f>
        <v>0</v>
      </c>
    </row>
    <row r="28" ht="18.75" customHeight="1">
      <c r="A28" s="598">
        <f>IFERROR(VLOOKUP(H28,PartyStorage,2, FALSE),0)</f>
        <v>0</v>
      </c>
      <c r="B28" s="1215">
        <f>sum(Ch9_Gems)</f>
        <v>0</v>
      </c>
      <c r="C28" s="1216" t="s">
        <v>48</v>
      </c>
      <c r="D28" s="1217">
        <v>0.02</v>
      </c>
      <c r="E28" s="1218">
        <f t="shared" si="1"/>
        <v>0</v>
      </c>
      <c r="F28" s="1219"/>
      <c r="G28" s="1220"/>
      <c r="H28" s="1221"/>
      <c r="I28" s="1222"/>
      <c r="M28" s="1223"/>
      <c r="N28" s="553">
        <f>IFERROR(VLOOKUP(G28,Ch9_Storage,2, FALSE),0)</f>
        <v>0</v>
      </c>
    </row>
    <row r="29" ht="18.75" customHeight="1">
      <c r="A29" s="598">
        <f>IFERROR(VLOOKUP(H29,PartyStorage,2, FALSE),0)</f>
        <v>0</v>
      </c>
      <c r="B29" s="1224"/>
      <c r="C29" s="1212"/>
      <c r="D29" s="1225"/>
      <c r="E29" s="1211" t="str">
        <f t="shared" si="1"/>
        <v/>
      </c>
      <c r="F29" s="1212"/>
      <c r="G29" s="1226"/>
      <c r="H29" s="1213"/>
      <c r="I29" s="1214"/>
      <c r="M29" s="378"/>
      <c r="N29" s="553">
        <f>IFERROR(VLOOKUP(G29,Ch9_Storage,2, FALSE),0)</f>
        <v>0</v>
      </c>
    </row>
    <row r="30" ht="18.75" customHeight="1">
      <c r="A30" s="598">
        <f>IFERROR(VLOOKUP(H30,PartyStorage,2, FALSE),0)</f>
        <v>0</v>
      </c>
      <c r="B30" s="1227"/>
      <c r="C30" s="1219"/>
      <c r="D30" s="1228"/>
      <c r="E30" s="1218" t="str">
        <f t="shared" si="1"/>
        <v/>
      </c>
      <c r="F30" s="1219"/>
      <c r="G30" s="1229"/>
      <c r="H30" s="1221"/>
      <c r="I30" s="1222"/>
      <c r="M30" s="1223"/>
      <c r="N30" s="553">
        <f>IFERROR(VLOOKUP(G30,Ch9_Storage,2, FALSE),0)</f>
        <v>0</v>
      </c>
    </row>
    <row r="31" ht="18.75" customHeight="1">
      <c r="A31" s="598">
        <f>IFERROR(VLOOKUP(H31,PartyStorage,2, FALSE),0)</f>
        <v>0</v>
      </c>
      <c r="B31" s="1224"/>
      <c r="C31" s="1212"/>
      <c r="D31" s="1225"/>
      <c r="E31" s="1211" t="str">
        <f t="shared" si="1"/>
        <v/>
      </c>
      <c r="F31" s="1212"/>
      <c r="G31" s="1226"/>
      <c r="H31" s="1213"/>
      <c r="I31" s="1214"/>
      <c r="M31" s="378"/>
      <c r="N31" s="553">
        <f>IFERROR(VLOOKUP(G31,Ch9_Storage,2, FALSE),0)</f>
        <v>0</v>
      </c>
    </row>
    <row r="32" ht="18.75" customHeight="1">
      <c r="A32" s="598">
        <f>IFERROR(VLOOKUP(H32,PartyStorage,2, FALSE),0)</f>
        <v>0</v>
      </c>
      <c r="B32" s="1227"/>
      <c r="C32" s="1219"/>
      <c r="D32" s="1228"/>
      <c r="E32" s="1218" t="str">
        <f t="shared" si="1"/>
        <v/>
      </c>
      <c r="F32" s="1219"/>
      <c r="G32" s="1229"/>
      <c r="H32" s="1221"/>
      <c r="I32" s="1222"/>
      <c r="M32" s="1223"/>
      <c r="N32" s="553">
        <f>IFERROR(VLOOKUP(G32,Ch9_Storage,2, FALSE),0)</f>
        <v>0</v>
      </c>
    </row>
    <row r="33" ht="18.75" customHeight="1">
      <c r="A33" s="598">
        <f>IFERROR(VLOOKUP(H33,PartyStorage,2, FALSE),0)</f>
        <v>0</v>
      </c>
      <c r="B33" s="1224"/>
      <c r="C33" s="1212"/>
      <c r="D33" s="1225"/>
      <c r="E33" s="1211" t="str">
        <f t="shared" si="1"/>
        <v/>
      </c>
      <c r="F33" s="1212"/>
      <c r="G33" s="1226"/>
      <c r="H33" s="1213"/>
      <c r="I33" s="1214"/>
      <c r="M33" s="378"/>
      <c r="N33" s="553">
        <f>IFERROR(VLOOKUP(G33,Ch9_Storage,2, FALSE),0)</f>
        <v>0</v>
      </c>
    </row>
    <row r="34" ht="18.75" customHeight="1">
      <c r="A34" s="598">
        <f>IFERROR(VLOOKUP(H34,PartyStorage,2, FALSE),0)</f>
        <v>0</v>
      </c>
      <c r="B34" s="1227"/>
      <c r="C34" s="1219"/>
      <c r="D34" s="1228"/>
      <c r="E34" s="1218" t="str">
        <f t="shared" si="1"/>
        <v/>
      </c>
      <c r="F34" s="1219"/>
      <c r="G34" s="1229"/>
      <c r="H34" s="1221"/>
      <c r="I34" s="1222"/>
      <c r="M34" s="1223"/>
      <c r="N34" s="553">
        <f>IFERROR(VLOOKUP(G34,Ch9_Storage,2, FALSE),0)</f>
        <v>0</v>
      </c>
    </row>
    <row r="35" ht="18.75" customHeight="1">
      <c r="A35" s="598">
        <f>IFERROR(VLOOKUP(H35,PartyStorage,2, FALSE),0)</f>
        <v>0</v>
      </c>
      <c r="B35" s="1224"/>
      <c r="C35" s="1212"/>
      <c r="D35" s="1225"/>
      <c r="E35" s="1211" t="str">
        <f t="shared" si="1"/>
        <v/>
      </c>
      <c r="F35" s="1212"/>
      <c r="G35" s="1226"/>
      <c r="H35" s="1213"/>
      <c r="I35" s="1214"/>
      <c r="M35" s="378"/>
      <c r="N35" s="553">
        <f>IFERROR(VLOOKUP(G35,Ch9_Storage,2, FALSE),0)</f>
        <v>0</v>
      </c>
    </row>
    <row r="36" ht="18.75" customHeight="1">
      <c r="A36" s="598">
        <f>IFERROR(VLOOKUP(H36,PartyStorage,2, FALSE),0)</f>
        <v>0</v>
      </c>
      <c r="B36" s="1227"/>
      <c r="C36" s="1219"/>
      <c r="D36" s="1228"/>
      <c r="E36" s="1218" t="str">
        <f t="shared" si="1"/>
        <v/>
      </c>
      <c r="F36" s="1219"/>
      <c r="G36" s="1229"/>
      <c r="H36" s="1221"/>
      <c r="I36" s="1222"/>
      <c r="M36" s="1223"/>
      <c r="N36" s="553">
        <f>IFERROR(VLOOKUP(G36,Ch9_Storage,2, FALSE),0)</f>
        <v>0</v>
      </c>
    </row>
    <row r="37" ht="18.75" customHeight="1">
      <c r="A37" s="598">
        <f>IFERROR(VLOOKUP(H37,PartyStorage,2, FALSE),0)</f>
        <v>0</v>
      </c>
      <c r="B37" s="1224"/>
      <c r="C37" s="1212"/>
      <c r="D37" s="1225"/>
      <c r="E37" s="1211" t="str">
        <f t="shared" si="1"/>
        <v/>
      </c>
      <c r="F37" s="1212"/>
      <c r="G37" s="1226"/>
      <c r="H37" s="1213"/>
      <c r="I37" s="1214"/>
      <c r="M37" s="378"/>
      <c r="N37" s="553">
        <f>IFERROR(VLOOKUP(G37,Ch9_Storage,2, FALSE),0)</f>
        <v>0</v>
      </c>
    </row>
    <row r="38" ht="18.75" customHeight="1">
      <c r="A38" s="598">
        <f>IFERROR(VLOOKUP(H38,PartyStorage,2, FALSE),0)</f>
        <v>0</v>
      </c>
      <c r="B38" s="1227"/>
      <c r="C38" s="1219"/>
      <c r="D38" s="1228"/>
      <c r="E38" s="1218" t="str">
        <f t="shared" si="1"/>
        <v/>
      </c>
      <c r="F38" s="1219"/>
      <c r="G38" s="1229"/>
      <c r="H38" s="1221"/>
      <c r="I38" s="1222"/>
      <c r="M38" s="1223"/>
      <c r="N38" s="553">
        <f>IFERROR(VLOOKUP(G38,Ch9_Storage,2, FALSE),0)</f>
        <v>0</v>
      </c>
    </row>
    <row r="39" ht="18.75" customHeight="1">
      <c r="A39" s="598">
        <f>IFERROR(VLOOKUP(H39,PartyStorage,2, FALSE),0)</f>
        <v>0</v>
      </c>
      <c r="B39" s="1224"/>
      <c r="C39" s="1212"/>
      <c r="D39" s="1225"/>
      <c r="E39" s="1211" t="str">
        <f t="shared" si="1"/>
        <v/>
      </c>
      <c r="F39" s="1212"/>
      <c r="G39" s="1226"/>
      <c r="H39" s="1213"/>
      <c r="I39" s="1214"/>
      <c r="M39" s="378"/>
      <c r="N39" s="553">
        <f>IFERROR(VLOOKUP(G39,Ch9_Storage,2, FALSE),0)</f>
        <v>0</v>
      </c>
    </row>
    <row r="40" ht="18.75" customHeight="1">
      <c r="A40" s="598">
        <f>IFERROR(VLOOKUP(H40,PartyStorage,2, FALSE),0)</f>
        <v>0</v>
      </c>
      <c r="B40" s="1227"/>
      <c r="C40" s="1219"/>
      <c r="D40" s="1228"/>
      <c r="E40" s="1218" t="str">
        <f t="shared" si="1"/>
        <v/>
      </c>
      <c r="F40" s="1219"/>
      <c r="G40" s="1229"/>
      <c r="H40" s="1221"/>
      <c r="I40" s="1222"/>
      <c r="M40" s="1223"/>
      <c r="N40" s="553">
        <f>IFERROR(VLOOKUP(G40,Ch9_Storage,2, FALSE),0)</f>
        <v>0</v>
      </c>
    </row>
    <row r="41" ht="18.75" customHeight="1">
      <c r="A41" s="598">
        <f>IFERROR(VLOOKUP(H41,PartyStorage,2, FALSE),0)</f>
        <v>0</v>
      </c>
      <c r="B41" s="1224"/>
      <c r="C41" s="1212"/>
      <c r="D41" s="1225"/>
      <c r="E41" s="1211" t="str">
        <f t="shared" si="1"/>
        <v/>
      </c>
      <c r="F41" s="1212"/>
      <c r="G41" s="1226"/>
      <c r="H41" s="1213"/>
      <c r="I41" s="1214"/>
      <c r="M41" s="378"/>
      <c r="N41" s="553">
        <f>IFERROR(VLOOKUP(G41,Ch9_Storage,2, FALSE),0)</f>
        <v>0</v>
      </c>
    </row>
    <row r="42" ht="18.75" customHeight="1">
      <c r="A42" s="598">
        <f>IFERROR(VLOOKUP(H42,PartyStorage,2, FALSE),0)</f>
        <v>0</v>
      </c>
      <c r="B42" s="1227"/>
      <c r="C42" s="1219"/>
      <c r="D42" s="1228"/>
      <c r="E42" s="1218" t="str">
        <f t="shared" si="1"/>
        <v/>
      </c>
      <c r="F42" s="1219"/>
      <c r="G42" s="1229"/>
      <c r="H42" s="1221"/>
      <c r="I42" s="1222"/>
      <c r="M42" s="1223"/>
      <c r="N42" s="553">
        <f>IFERROR(VLOOKUP(G42,Ch9_Storage,2, FALSE),0)</f>
        <v>0</v>
      </c>
    </row>
    <row r="43" ht="18.75" customHeight="1">
      <c r="A43" s="598">
        <f>IFERROR(VLOOKUP(H43,PartyStorage,2, FALSE),0)</f>
        <v>0</v>
      </c>
      <c r="B43" s="1224"/>
      <c r="C43" s="1212"/>
      <c r="D43" s="1225"/>
      <c r="E43" s="1211" t="str">
        <f t="shared" si="1"/>
        <v/>
      </c>
      <c r="F43" s="1212"/>
      <c r="G43" s="1226"/>
      <c r="H43" s="1213"/>
      <c r="I43" s="1214"/>
      <c r="M43" s="378"/>
      <c r="N43" s="553">
        <f>IFERROR(VLOOKUP(G43,Ch9_Storage,2, FALSE),0)</f>
        <v>0</v>
      </c>
    </row>
    <row r="44" ht="18.75" customHeight="1">
      <c r="A44" s="598">
        <f>IFERROR(VLOOKUP(H44,PartyStorage,2, FALSE),0)</f>
        <v>0</v>
      </c>
      <c r="B44" s="1227"/>
      <c r="C44" s="1219"/>
      <c r="D44" s="1228"/>
      <c r="E44" s="1218" t="str">
        <f t="shared" si="1"/>
        <v/>
      </c>
      <c r="F44" s="1219"/>
      <c r="G44" s="1229"/>
      <c r="H44" s="1221"/>
      <c r="I44" s="1222"/>
      <c r="M44" s="1223"/>
      <c r="N44" s="553">
        <f>IFERROR(VLOOKUP(G44,Ch9_Storage,2, FALSE),0)</f>
        <v>0</v>
      </c>
    </row>
    <row r="45" ht="18.75" customHeight="1">
      <c r="A45" s="598">
        <f>IFERROR(VLOOKUP(H45,PartyStorage,2, FALSE),0)</f>
        <v>0</v>
      </c>
      <c r="B45" s="1224"/>
      <c r="C45" s="1212"/>
      <c r="D45" s="1225"/>
      <c r="E45" s="1211" t="str">
        <f t="shared" si="1"/>
        <v/>
      </c>
      <c r="F45" s="1212"/>
      <c r="G45" s="1226"/>
      <c r="H45" s="1213"/>
      <c r="I45" s="1214"/>
      <c r="M45" s="378"/>
      <c r="N45" s="553">
        <f>IFERROR(VLOOKUP(G45,Ch9_Storage,2, FALSE),0)</f>
        <v>0</v>
      </c>
    </row>
    <row r="46" ht="18.75" customHeight="1">
      <c r="A46" s="598">
        <f>IFERROR(VLOOKUP(H46,PartyStorage,2, FALSE),0)</f>
        <v>0</v>
      </c>
      <c r="B46" s="1227"/>
      <c r="C46" s="1219"/>
      <c r="D46" s="1228"/>
      <c r="E46" s="1218" t="str">
        <f t="shared" si="1"/>
        <v/>
      </c>
      <c r="F46" s="1219"/>
      <c r="G46" s="1229"/>
      <c r="H46" s="1221"/>
      <c r="I46" s="1222"/>
      <c r="M46" s="1223"/>
      <c r="N46" s="553">
        <f>IFERROR(VLOOKUP(G46,Ch9_Storage,2, FALSE),0)</f>
        <v>0</v>
      </c>
    </row>
    <row r="47" ht="18.75" customHeight="1">
      <c r="A47" s="598">
        <f>IFERROR(VLOOKUP(H47,PartyStorage,2, FALSE),0)</f>
        <v>0</v>
      </c>
      <c r="B47" s="1224"/>
      <c r="C47" s="1212"/>
      <c r="D47" s="1225"/>
      <c r="E47" s="1211" t="str">
        <f t="shared" si="1"/>
        <v/>
      </c>
      <c r="F47" s="1212"/>
      <c r="G47" s="1226"/>
      <c r="H47" s="1213"/>
      <c r="I47" s="1214"/>
      <c r="M47" s="378"/>
      <c r="N47" s="553">
        <f>IFERROR(VLOOKUP(G47,Ch9_Storage,2, FALSE),0)</f>
        <v>0</v>
      </c>
    </row>
    <row r="48" ht="18.75" customHeight="1">
      <c r="A48" s="598">
        <f>IFERROR(VLOOKUP(H48,PartyStorage,2, FALSE),0)</f>
        <v>0</v>
      </c>
      <c r="B48" s="1227"/>
      <c r="C48" s="1219"/>
      <c r="D48" s="1228"/>
      <c r="E48" s="1218" t="str">
        <f t="shared" si="1"/>
        <v/>
      </c>
      <c r="F48" s="1219"/>
      <c r="G48" s="1229"/>
      <c r="H48" s="1221"/>
      <c r="I48" s="1222"/>
      <c r="M48" s="1223"/>
      <c r="N48" s="553">
        <f>IFERROR(VLOOKUP(G48,Ch9_Storage,2, FALSE),0)</f>
        <v>0</v>
      </c>
    </row>
    <row r="49" ht="18.75" customHeight="1">
      <c r="A49" s="598">
        <f>IFERROR(VLOOKUP(H49,PartyStorage,2, FALSE),0)</f>
        <v>0</v>
      </c>
      <c r="B49" s="1224"/>
      <c r="C49" s="1212"/>
      <c r="D49" s="1225"/>
      <c r="E49" s="1211" t="str">
        <f t="shared" si="1"/>
        <v/>
      </c>
      <c r="F49" s="1212"/>
      <c r="G49" s="1226"/>
      <c r="H49" s="1213"/>
      <c r="I49" s="1214"/>
      <c r="M49" s="378"/>
      <c r="N49" s="553">
        <f>IFERROR(VLOOKUP(G49,Ch9_Storage,2, FALSE),0)</f>
        <v>0</v>
      </c>
    </row>
    <row r="50" ht="18.75" customHeight="1">
      <c r="A50" s="598">
        <f>IFERROR(VLOOKUP(H50,PartyStorage,2, FALSE),0)</f>
        <v>0</v>
      </c>
      <c r="B50" s="1227"/>
      <c r="C50" s="1219"/>
      <c r="D50" s="1228"/>
      <c r="E50" s="1218" t="str">
        <f t="shared" si="1"/>
        <v/>
      </c>
      <c r="F50" s="1219"/>
      <c r="G50" s="1229"/>
      <c r="H50" s="1221"/>
      <c r="I50" s="1222"/>
      <c r="M50" s="1223"/>
      <c r="N50" s="553">
        <f>IFERROR(VLOOKUP(G50,Ch9_Storage,2, FALSE),0)</f>
        <v>0</v>
      </c>
    </row>
    <row r="51" ht="18.75" customHeight="1">
      <c r="A51" s="598">
        <f>IFERROR(VLOOKUP(H51,PartyStorage,2, FALSE),0)</f>
        <v>0</v>
      </c>
      <c r="B51" s="1224"/>
      <c r="C51" s="1212"/>
      <c r="D51" s="1225"/>
      <c r="E51" s="1211" t="str">
        <f t="shared" si="1"/>
        <v/>
      </c>
      <c r="F51" s="1212"/>
      <c r="G51" s="1226"/>
      <c r="H51" s="1213"/>
      <c r="I51" s="1214"/>
      <c r="M51" s="378"/>
      <c r="N51" s="553">
        <f>IFERROR(VLOOKUP(G51,Ch9_Storage,2, FALSE),0)</f>
        <v>0</v>
      </c>
    </row>
    <row r="52" ht="18.75" customHeight="1">
      <c r="A52" s="598">
        <f>IFERROR(VLOOKUP(H52,PartyStorage,2, FALSE),0)</f>
        <v>0</v>
      </c>
      <c r="B52" s="1227"/>
      <c r="C52" s="1219"/>
      <c r="D52" s="1228"/>
      <c r="E52" s="1218" t="str">
        <f t="shared" si="1"/>
        <v/>
      </c>
      <c r="F52" s="1219"/>
      <c r="G52" s="1229"/>
      <c r="H52" s="1221"/>
      <c r="I52" s="1222"/>
      <c r="M52" s="1223"/>
      <c r="N52" s="553">
        <f>IFERROR(VLOOKUP(G52,Ch9_Storage,2, FALSE),0)</f>
        <v>0</v>
      </c>
    </row>
    <row r="53" ht="18.75" customHeight="1">
      <c r="A53" s="598">
        <f>IFERROR(VLOOKUP(H53,PartyStorage,2, FALSE),0)</f>
        <v>0</v>
      </c>
      <c r="B53" s="1224"/>
      <c r="C53" s="1212"/>
      <c r="D53" s="1225"/>
      <c r="E53" s="1211" t="str">
        <f t="shared" si="1"/>
        <v/>
      </c>
      <c r="F53" s="1212"/>
      <c r="G53" s="1226"/>
      <c r="H53" s="1213"/>
      <c r="I53" s="1214"/>
      <c r="M53" s="378"/>
      <c r="N53" s="553">
        <f>IFERROR(VLOOKUP(G53,Ch9_Storage,2, FALSE),0)</f>
        <v>0</v>
      </c>
    </row>
    <row r="54" ht="18.75" customHeight="1">
      <c r="A54" s="598">
        <f>IFERROR(VLOOKUP(H54,PartyStorage,2, FALSE),0)</f>
        <v>0</v>
      </c>
      <c r="B54" s="1227"/>
      <c r="C54" s="1219"/>
      <c r="D54" s="1228"/>
      <c r="E54" s="1218" t="str">
        <f t="shared" si="1"/>
        <v/>
      </c>
      <c r="F54" s="1219"/>
      <c r="G54" s="1229"/>
      <c r="H54" s="1221"/>
      <c r="I54" s="1222"/>
      <c r="M54" s="1223"/>
      <c r="N54" s="553">
        <f>IFERROR(VLOOKUP(G54,Ch9_Storage,2, FALSE),0)</f>
        <v>0</v>
      </c>
    </row>
    <row r="55" ht="18.75" customHeight="1">
      <c r="A55" s="598">
        <f>IFERROR(VLOOKUP(H55,PartyStorage,2, FALSE),0)</f>
        <v>0</v>
      </c>
      <c r="B55" s="1224"/>
      <c r="C55" s="1212"/>
      <c r="D55" s="1225"/>
      <c r="E55" s="1211" t="str">
        <f t="shared" si="1"/>
        <v/>
      </c>
      <c r="F55" s="1212"/>
      <c r="G55" s="1226"/>
      <c r="H55" s="1213"/>
      <c r="I55" s="1214"/>
      <c r="M55" s="378"/>
      <c r="N55" s="553">
        <f>IFERROR(VLOOKUP(G55,Ch9_Storage,2, FALSE),0)</f>
        <v>0</v>
      </c>
    </row>
    <row r="56" ht="18.75" customHeight="1">
      <c r="A56" s="598">
        <f>IFERROR(VLOOKUP(H56,PartyStorage,2, FALSE),0)</f>
        <v>0</v>
      </c>
      <c r="B56" s="1227"/>
      <c r="C56" s="1219"/>
      <c r="D56" s="1228"/>
      <c r="E56" s="1218" t="str">
        <f t="shared" si="1"/>
        <v/>
      </c>
      <c r="F56" s="1219"/>
      <c r="G56" s="1229"/>
      <c r="H56" s="1221"/>
      <c r="I56" s="1222"/>
      <c r="M56" s="1223"/>
      <c r="N56" s="553">
        <f>IFERROR(VLOOKUP(G56,Ch9_Storage,2, FALSE),0)</f>
        <v>0</v>
      </c>
    </row>
    <row r="57" ht="18.75" customHeight="1">
      <c r="A57" s="598">
        <f>IFERROR(VLOOKUP(H57,PartyStorage,2, FALSE),0)</f>
        <v>0</v>
      </c>
      <c r="B57" s="1224"/>
      <c r="C57" s="1212"/>
      <c r="D57" s="1225"/>
      <c r="E57" s="1211" t="str">
        <f t="shared" si="1"/>
        <v/>
      </c>
      <c r="F57" s="1212"/>
      <c r="G57" s="1226"/>
      <c r="H57" s="1213"/>
      <c r="I57" s="1214"/>
      <c r="M57" s="378"/>
      <c r="N57" s="553">
        <f>IFERROR(VLOOKUP(G57,Ch9_Storage,2, FALSE),0)</f>
        <v>0</v>
      </c>
    </row>
    <row r="58" ht="18.75" customHeight="1">
      <c r="A58" s="598">
        <f>IFERROR(VLOOKUP(H58,PartyStorage,2, FALSE),0)</f>
        <v>0</v>
      </c>
      <c r="B58" s="1227"/>
      <c r="C58" s="1219"/>
      <c r="D58" s="1228"/>
      <c r="E58" s="1218" t="str">
        <f t="shared" si="1"/>
        <v/>
      </c>
      <c r="F58" s="1219"/>
      <c r="G58" s="1229"/>
      <c r="H58" s="1221"/>
      <c r="I58" s="1222"/>
      <c r="M58" s="1223"/>
      <c r="N58" s="553">
        <f>IFERROR(VLOOKUP(G58,Ch9_Storage,2, FALSE),0)</f>
        <v>0</v>
      </c>
    </row>
    <row r="59" ht="18.75" customHeight="1">
      <c r="A59" s="598">
        <f>IFERROR(VLOOKUP(H59,PartyStorage,2, FALSE),0)</f>
        <v>0</v>
      </c>
      <c r="B59" s="1224"/>
      <c r="C59" s="1212"/>
      <c r="D59" s="1225"/>
      <c r="E59" s="1211" t="str">
        <f t="shared" si="1"/>
        <v/>
      </c>
      <c r="F59" s="1212"/>
      <c r="G59" s="1226"/>
      <c r="H59" s="1213"/>
      <c r="I59" s="1214"/>
      <c r="M59" s="378"/>
      <c r="N59" s="553">
        <f>IFERROR(VLOOKUP(G59,Ch9_Storage,2, FALSE),0)</f>
        <v>0</v>
      </c>
    </row>
    <row r="60" ht="18.75" customHeight="1">
      <c r="A60" s="598">
        <f>IFERROR(VLOOKUP(H60,PartyStorage,2, FALSE),0)</f>
        <v>0</v>
      </c>
      <c r="B60" s="1227"/>
      <c r="C60" s="1219"/>
      <c r="D60" s="1228"/>
      <c r="E60" s="1218" t="str">
        <f t="shared" si="1"/>
        <v/>
      </c>
      <c r="F60" s="1219"/>
      <c r="G60" s="1229"/>
      <c r="H60" s="1221"/>
      <c r="I60" s="1222"/>
      <c r="M60" s="1223"/>
      <c r="N60" s="553">
        <f>IFERROR(VLOOKUP(G60,Ch9_Storage,2, FALSE),0)</f>
        <v>0</v>
      </c>
    </row>
    <row r="61" ht="18.75" customHeight="1">
      <c r="A61" s="598">
        <f>IFERROR(VLOOKUP(H61,PartyStorage,2, FALSE),0)</f>
        <v>0</v>
      </c>
      <c r="B61" s="1224"/>
      <c r="C61" s="1212"/>
      <c r="D61" s="1225"/>
      <c r="E61" s="1211" t="str">
        <f t="shared" si="1"/>
        <v/>
      </c>
      <c r="F61" s="1212"/>
      <c r="G61" s="1226"/>
      <c r="H61" s="1213"/>
      <c r="I61" s="1214"/>
      <c r="M61" s="378"/>
      <c r="N61" s="553">
        <f>IFERROR(VLOOKUP(G61,Ch9_Storage,2, FALSE),0)</f>
        <v>0</v>
      </c>
    </row>
    <row r="62" ht="18.75" customHeight="1">
      <c r="A62" s="598">
        <f>IFERROR(VLOOKUP(H62,PartyStorage,2, FALSE),0)</f>
        <v>0</v>
      </c>
      <c r="B62" s="1227"/>
      <c r="C62" s="1219"/>
      <c r="D62" s="1228"/>
      <c r="E62" s="1218" t="str">
        <f t="shared" si="1"/>
        <v/>
      </c>
      <c r="F62" s="1219"/>
      <c r="G62" s="1229"/>
      <c r="H62" s="1221"/>
      <c r="I62" s="1222"/>
      <c r="M62" s="1223"/>
      <c r="N62" s="553">
        <f>IFERROR(VLOOKUP(G62,Ch9_Storage,2, FALSE),0)</f>
        <v>0</v>
      </c>
    </row>
    <row r="63" ht="18.75" customHeight="1">
      <c r="A63" s="598">
        <f>IFERROR(VLOOKUP(H63,PartyStorage,2, FALSE),0)</f>
        <v>0</v>
      </c>
      <c r="B63" s="1224"/>
      <c r="C63" s="1212"/>
      <c r="D63" s="1225"/>
      <c r="E63" s="1211" t="str">
        <f t="shared" si="1"/>
        <v/>
      </c>
      <c r="F63" s="1212"/>
      <c r="G63" s="1226"/>
      <c r="H63" s="1213"/>
      <c r="I63" s="1214"/>
      <c r="M63" s="378"/>
      <c r="N63" s="553">
        <f>IFERROR(VLOOKUP(G63,Ch9_Storage,2, FALSE),0)</f>
        <v>0</v>
      </c>
    </row>
    <row r="64" ht="18.75" customHeight="1">
      <c r="A64" s="598">
        <f>IFERROR(VLOOKUP(H64,PartyStorage,2, FALSE),0)</f>
        <v>0</v>
      </c>
      <c r="B64" s="1227"/>
      <c r="C64" s="1219"/>
      <c r="D64" s="1228"/>
      <c r="E64" s="1218" t="str">
        <f t="shared" si="1"/>
        <v/>
      </c>
      <c r="F64" s="1219"/>
      <c r="G64" s="1229"/>
      <c r="H64" s="1221"/>
      <c r="I64" s="1222"/>
      <c r="M64" s="1223"/>
      <c r="N64" s="553">
        <f>IFERROR(VLOOKUP(G64,Ch9_Storage,2, FALSE),0)</f>
        <v>0</v>
      </c>
    </row>
    <row r="65" ht="18.75" customHeight="1">
      <c r="A65" s="598">
        <f>IFERROR(VLOOKUP(H65,PartyStorage,2, FALSE),0)</f>
        <v>0</v>
      </c>
      <c r="B65" s="1224"/>
      <c r="C65" s="1212"/>
      <c r="D65" s="1225"/>
      <c r="E65" s="1211" t="str">
        <f t="shared" si="1"/>
        <v/>
      </c>
      <c r="F65" s="1212"/>
      <c r="G65" s="1226"/>
      <c r="H65" s="1213"/>
      <c r="I65" s="1214"/>
      <c r="M65" s="378"/>
      <c r="N65" s="553">
        <f>IFERROR(VLOOKUP(G65,Ch9_Storage,2, FALSE),0)</f>
        <v>0</v>
      </c>
    </row>
    <row r="66" ht="18.75" customHeight="1">
      <c r="A66" s="598">
        <f>IFERROR(VLOOKUP(H66,PartyStorage,2, FALSE),0)</f>
        <v>0</v>
      </c>
      <c r="B66" s="1227"/>
      <c r="C66" s="1219"/>
      <c r="D66" s="1228"/>
      <c r="E66" s="1218" t="str">
        <f t="shared" si="1"/>
        <v/>
      </c>
      <c r="F66" s="1219"/>
      <c r="G66" s="1229"/>
      <c r="H66" s="1221"/>
      <c r="I66" s="1222"/>
      <c r="M66" s="1223"/>
      <c r="N66" s="553">
        <f>IFERROR(VLOOKUP(G66,Ch9_Storage,2, FALSE),0)</f>
        <v>0</v>
      </c>
    </row>
    <row r="67" ht="18.75" customHeight="1">
      <c r="A67" s="598">
        <f>IFERROR(VLOOKUP(H67,PartyStorage,2, FALSE),0)</f>
        <v>0</v>
      </c>
      <c r="B67" s="1224"/>
      <c r="C67" s="1212"/>
      <c r="D67" s="1225"/>
      <c r="E67" s="1211" t="str">
        <f t="shared" si="1"/>
        <v/>
      </c>
      <c r="F67" s="1212"/>
      <c r="G67" s="1226"/>
      <c r="H67" s="1213"/>
      <c r="I67" s="1214"/>
      <c r="M67" s="378"/>
      <c r="N67" s="553">
        <f>IFERROR(VLOOKUP(G67,Ch9_Storage,2, FALSE),0)</f>
        <v>0</v>
      </c>
    </row>
    <row r="68" ht="18.75" customHeight="1">
      <c r="A68" s="598">
        <f>IFERROR(VLOOKUP(H68,PartyStorage,2, FALSE),0)</f>
        <v>0</v>
      </c>
      <c r="B68" s="1227"/>
      <c r="C68" s="1219"/>
      <c r="D68" s="1228"/>
      <c r="E68" s="1218" t="str">
        <f t="shared" si="1"/>
        <v/>
      </c>
      <c r="F68" s="1219"/>
      <c r="G68" s="1229"/>
      <c r="H68" s="1221"/>
      <c r="I68" s="1222"/>
      <c r="M68" s="1223"/>
      <c r="N68" s="553">
        <f>IFERROR(VLOOKUP(G68,Ch9_Storage,2, FALSE),0)</f>
        <v>0</v>
      </c>
    </row>
    <row r="69" ht="18.75" customHeight="1">
      <c r="A69" s="598">
        <f>IFERROR(VLOOKUP(H69,PartyStorage,2, FALSE),0)</f>
        <v>0</v>
      </c>
      <c r="B69" s="1224"/>
      <c r="C69" s="1212"/>
      <c r="D69" s="1225"/>
      <c r="E69" s="1211" t="str">
        <f t="shared" si="1"/>
        <v/>
      </c>
      <c r="F69" s="1212"/>
      <c r="G69" s="1226"/>
      <c r="H69" s="1213"/>
      <c r="I69" s="1214"/>
      <c r="M69" s="378"/>
      <c r="N69" s="553">
        <f>IFERROR(VLOOKUP(G69,Ch9_Storage,2, FALSE),0)</f>
        <v>0</v>
      </c>
    </row>
    <row r="70" ht="18.75" customHeight="1">
      <c r="A70" s="598">
        <f>IFERROR(VLOOKUP(H70,PartyStorage,2, FALSE),0)</f>
        <v>0</v>
      </c>
      <c r="B70" s="1227"/>
      <c r="C70" s="1219"/>
      <c r="D70" s="1228"/>
      <c r="E70" s="1218" t="str">
        <f t="shared" si="1"/>
        <v/>
      </c>
      <c r="F70" s="1219"/>
      <c r="G70" s="1229"/>
      <c r="H70" s="1221"/>
      <c r="I70" s="1222"/>
      <c r="M70" s="1223"/>
      <c r="N70" s="553">
        <f>IFERROR(VLOOKUP(G70,Ch9_Storage,2, FALSE),0)</f>
        <v>0</v>
      </c>
    </row>
    <row r="71" ht="18.75" customHeight="1">
      <c r="A71" s="598">
        <f>IFERROR(VLOOKUP(H71,PartyStorage,2, FALSE),0)</f>
        <v>0</v>
      </c>
      <c r="B71" s="1224"/>
      <c r="C71" s="1212"/>
      <c r="D71" s="1225"/>
      <c r="E71" s="1211" t="str">
        <f t="shared" si="1"/>
        <v/>
      </c>
      <c r="F71" s="1212"/>
      <c r="G71" s="1226"/>
      <c r="H71" s="1213"/>
      <c r="I71" s="1214"/>
      <c r="M71" s="378"/>
      <c r="N71" s="553">
        <f>IFERROR(VLOOKUP(G71,Ch9_Storage,2, FALSE),0)</f>
        <v>0</v>
      </c>
    </row>
    <row r="72" ht="18.75" customHeight="1">
      <c r="A72" s="598">
        <f>IFERROR(VLOOKUP(H72,PartyStorage,2, FALSE),0)</f>
        <v>0</v>
      </c>
      <c r="B72" s="1227"/>
      <c r="C72" s="1219"/>
      <c r="D72" s="1228"/>
      <c r="E72" s="1218" t="str">
        <f t="shared" si="1"/>
        <v/>
      </c>
      <c r="F72" s="1219"/>
      <c r="G72" s="1229"/>
      <c r="H72" s="1221"/>
      <c r="I72" s="1222"/>
      <c r="M72" s="1223"/>
      <c r="N72" s="553">
        <f>IFERROR(VLOOKUP(G72,Ch9_Storage,2, FALSE),0)</f>
        <v>0</v>
      </c>
    </row>
    <row r="73" ht="18.75" customHeight="1">
      <c r="A73" s="598">
        <f>IFERROR(VLOOKUP(H73,PartyStorage,2, FALSE),0)</f>
        <v>0</v>
      </c>
      <c r="B73" s="1224"/>
      <c r="C73" s="1212"/>
      <c r="D73" s="1225"/>
      <c r="E73" s="1211" t="str">
        <f t="shared" si="1"/>
        <v/>
      </c>
      <c r="F73" s="1212"/>
      <c r="G73" s="1226"/>
      <c r="H73" s="1213"/>
      <c r="I73" s="1214"/>
      <c r="M73" s="378"/>
      <c r="N73" s="553">
        <f>IFERROR(VLOOKUP(G73,Ch9_Storage,2, FALSE),0)</f>
        <v>0</v>
      </c>
    </row>
    <row r="74" ht="18.75" customHeight="1">
      <c r="A74" s="598">
        <f>IFERROR(VLOOKUP(H74,PartyStorage,2, FALSE),0)</f>
        <v>0</v>
      </c>
      <c r="B74" s="1227"/>
      <c r="C74" s="1219"/>
      <c r="D74" s="1228"/>
      <c r="E74" s="1218" t="str">
        <f t="shared" si="1"/>
        <v/>
      </c>
      <c r="F74" s="1219"/>
      <c r="G74" s="1229"/>
      <c r="H74" s="1221"/>
      <c r="I74" s="1222"/>
      <c r="M74" s="1223"/>
      <c r="N74" s="553">
        <f>IFERROR(VLOOKUP(G74,Ch9_Storage,2, FALSE),0)</f>
        <v>0</v>
      </c>
    </row>
    <row r="75" ht="18.75" customHeight="1">
      <c r="A75" s="598">
        <f>IFERROR(VLOOKUP(H75,PartyStorage,2, FALSE),0)</f>
        <v>0</v>
      </c>
      <c r="B75" s="1224"/>
      <c r="C75" s="1212"/>
      <c r="D75" s="1225"/>
      <c r="E75" s="1211" t="str">
        <f t="shared" si="1"/>
        <v/>
      </c>
      <c r="F75" s="1212"/>
      <c r="G75" s="1226"/>
      <c r="H75" s="1213"/>
      <c r="I75" s="1214"/>
      <c r="M75" s="378"/>
      <c r="N75" s="553">
        <f>IFERROR(VLOOKUP(G75,Ch9_Storage,2, FALSE),0)</f>
        <v>0</v>
      </c>
    </row>
    <row r="76" ht="18.75" customHeight="1">
      <c r="A76" s="598">
        <f>IFERROR(VLOOKUP(H76,PartyStorage,2, FALSE),0)</f>
        <v>0</v>
      </c>
      <c r="B76" s="1227"/>
      <c r="C76" s="1219"/>
      <c r="D76" s="1228"/>
      <c r="E76" s="1218" t="str">
        <f t="shared" si="1"/>
        <v/>
      </c>
      <c r="F76" s="1219"/>
      <c r="G76" s="1229"/>
      <c r="H76" s="1221"/>
      <c r="I76" s="1222"/>
      <c r="M76" s="1223"/>
      <c r="N76" s="553">
        <f>IFERROR(VLOOKUP(G76,Ch9_Storage,2, FALSE),0)</f>
        <v>0</v>
      </c>
    </row>
    <row r="77" ht="18.75" customHeight="1">
      <c r="A77" s="598">
        <f>IFERROR(VLOOKUP(H77,PartyStorage,2, FALSE),0)</f>
        <v>0</v>
      </c>
      <c r="B77" s="1224"/>
      <c r="C77" s="1212"/>
      <c r="D77" s="1225"/>
      <c r="E77" s="1211" t="str">
        <f t="shared" si="1"/>
        <v/>
      </c>
      <c r="F77" s="1212"/>
      <c r="G77" s="1226"/>
      <c r="H77" s="1213"/>
      <c r="I77" s="1214"/>
      <c r="M77" s="378"/>
      <c r="N77" s="553">
        <f>IFERROR(VLOOKUP(G77,Ch9_Storage,2, FALSE),0)</f>
        <v>0</v>
      </c>
    </row>
    <row r="78" ht="18.75" customHeight="1">
      <c r="A78" s="598">
        <f>IFERROR(VLOOKUP(H78,PartyStorage,2, FALSE),0)</f>
        <v>0</v>
      </c>
      <c r="B78" s="1227"/>
      <c r="C78" s="1219"/>
      <c r="D78" s="1228"/>
      <c r="E78" s="1218" t="str">
        <f t="shared" si="1"/>
        <v/>
      </c>
      <c r="F78" s="1219"/>
      <c r="G78" s="1229"/>
      <c r="H78" s="1221"/>
      <c r="I78" s="1222"/>
      <c r="M78" s="1223"/>
      <c r="N78" s="553">
        <f>IFERROR(VLOOKUP(G78,Ch9_Storage,2, FALSE),0)</f>
        <v>0</v>
      </c>
    </row>
    <row r="79" ht="18.75" customHeight="1">
      <c r="A79" s="598">
        <f>IFERROR(VLOOKUP(H79,PartyStorage,2, FALSE),0)</f>
        <v>0</v>
      </c>
      <c r="B79" s="1224"/>
      <c r="C79" s="1212"/>
      <c r="D79" s="1225"/>
      <c r="E79" s="1211" t="str">
        <f t="shared" si="1"/>
        <v/>
      </c>
      <c r="F79" s="1212"/>
      <c r="G79" s="1226"/>
      <c r="H79" s="1213"/>
      <c r="I79" s="1214"/>
      <c r="M79" s="378"/>
      <c r="N79" s="553">
        <f>IFERROR(VLOOKUP(G79,Ch9_Storage,2, FALSE),0)</f>
        <v>0</v>
      </c>
    </row>
    <row r="80" ht="18.75" customHeight="1">
      <c r="A80" s="598">
        <f>IFERROR(VLOOKUP(H80,PartyStorage,2, FALSE),0)</f>
        <v>0</v>
      </c>
      <c r="B80" s="1227"/>
      <c r="C80" s="1219"/>
      <c r="D80" s="1228"/>
      <c r="E80" s="1218" t="str">
        <f t="shared" si="1"/>
        <v/>
      </c>
      <c r="F80" s="1219"/>
      <c r="G80" s="1229"/>
      <c r="H80" s="1221"/>
      <c r="I80" s="1222"/>
      <c r="M80" s="1223"/>
      <c r="N80" s="553">
        <f>IFERROR(VLOOKUP(G80,Ch9_Storage,2, FALSE),0)</f>
        <v>0</v>
      </c>
    </row>
    <row r="81" ht="18.75" customHeight="1">
      <c r="A81" s="598">
        <f>IFERROR(VLOOKUP(H81,PartyStorage,2, FALSE),0)</f>
        <v>0</v>
      </c>
      <c r="B81" s="1224"/>
      <c r="C81" s="1212"/>
      <c r="D81" s="1225"/>
      <c r="E81" s="1211" t="str">
        <f t="shared" si="1"/>
        <v/>
      </c>
      <c r="F81" s="1212"/>
      <c r="G81" s="1226"/>
      <c r="H81" s="1213"/>
      <c r="I81" s="1214"/>
      <c r="M81" s="378"/>
      <c r="N81" s="553">
        <f>IFERROR(VLOOKUP(G81,Ch9_Storage,2, FALSE),0)</f>
        <v>0</v>
      </c>
    </row>
    <row r="82" ht="18.75" customHeight="1">
      <c r="A82" s="598">
        <f>IFERROR(VLOOKUP(H82,PartyStorage,2, FALSE),0)</f>
        <v>0</v>
      </c>
      <c r="B82" s="1227"/>
      <c r="C82" s="1219"/>
      <c r="D82" s="1228"/>
      <c r="E82" s="1218" t="str">
        <f t="shared" si="1"/>
        <v/>
      </c>
      <c r="F82" s="1219"/>
      <c r="G82" s="1229"/>
      <c r="H82" s="1221"/>
      <c r="I82" s="1222"/>
      <c r="M82" s="1223"/>
      <c r="N82" s="553">
        <f>IFERROR(VLOOKUP(G82,Ch9_Storage,2, FALSE),0)</f>
        <v>0</v>
      </c>
    </row>
    <row r="83" ht="18.75" customHeight="1">
      <c r="A83" s="598">
        <f>IFERROR(VLOOKUP(H83,PartyStorage,2, FALSE),0)</f>
        <v>0</v>
      </c>
      <c r="B83" s="1224"/>
      <c r="C83" s="1212"/>
      <c r="D83" s="1225"/>
      <c r="E83" s="1211" t="str">
        <f t="shared" si="1"/>
        <v/>
      </c>
      <c r="F83" s="1212"/>
      <c r="G83" s="1226"/>
      <c r="H83" s="1213"/>
      <c r="I83" s="1214"/>
      <c r="M83" s="378"/>
      <c r="N83" s="553">
        <f>IFERROR(VLOOKUP(G83,Ch9_Storage,2, FALSE),0)</f>
        <v>0</v>
      </c>
    </row>
    <row r="84" ht="18.75" customHeight="1">
      <c r="A84" s="598">
        <f>IFERROR(VLOOKUP(H84,PartyStorage,2, FALSE),0)</f>
        <v>0</v>
      </c>
      <c r="B84" s="1227"/>
      <c r="C84" s="1219"/>
      <c r="D84" s="1228"/>
      <c r="E84" s="1218" t="str">
        <f t="shared" si="1"/>
        <v/>
      </c>
      <c r="F84" s="1219"/>
      <c r="G84" s="1229"/>
      <c r="H84" s="1221"/>
      <c r="I84" s="1222"/>
      <c r="M84" s="1223"/>
      <c r="N84" s="553">
        <f>IFERROR(VLOOKUP(G84,Ch9_Storage,2, FALSE),0)</f>
        <v>0</v>
      </c>
    </row>
    <row r="85" ht="18.75" customHeight="1">
      <c r="A85" s="598">
        <f>IFERROR(VLOOKUP(H85,PartyStorage,2, FALSE),0)</f>
        <v>0</v>
      </c>
      <c r="B85" s="1224"/>
      <c r="C85" s="1212"/>
      <c r="D85" s="1225"/>
      <c r="E85" s="1211" t="str">
        <f t="shared" si="1"/>
        <v/>
      </c>
      <c r="F85" s="1212"/>
      <c r="G85" s="1226"/>
      <c r="H85" s="1213"/>
      <c r="I85" s="1214"/>
      <c r="M85" s="378"/>
      <c r="N85" s="553">
        <f>IFERROR(VLOOKUP(G85,Ch9_Storage,2, FALSE),0)</f>
        <v>0</v>
      </c>
    </row>
    <row r="86" ht="18.75" customHeight="1">
      <c r="A86" s="598">
        <f>IFERROR(VLOOKUP(H86,PartyStorage,2, FALSE),0)</f>
        <v>0</v>
      </c>
      <c r="B86" s="1227"/>
      <c r="C86" s="1219"/>
      <c r="D86" s="1228"/>
      <c r="E86" s="1218" t="str">
        <f t="shared" si="1"/>
        <v/>
      </c>
      <c r="F86" s="1219"/>
      <c r="G86" s="1229"/>
      <c r="H86" s="1221"/>
      <c r="I86" s="1222"/>
      <c r="M86" s="1223"/>
      <c r="N86" s="553">
        <f>IFERROR(VLOOKUP(G86,Ch9_Storage,2, FALSE),0)</f>
        <v>0</v>
      </c>
    </row>
    <row r="87" ht="18.75" customHeight="1">
      <c r="A87" s="598">
        <f>IFERROR(VLOOKUP(H87,PartyStorage,2, FALSE),0)</f>
        <v>0</v>
      </c>
      <c r="B87" s="1224"/>
      <c r="C87" s="1212"/>
      <c r="D87" s="1225"/>
      <c r="E87" s="1211" t="str">
        <f t="shared" si="1"/>
        <v/>
      </c>
      <c r="F87" s="1212"/>
      <c r="G87" s="1226"/>
      <c r="H87" s="1213"/>
      <c r="I87" s="1214"/>
      <c r="M87" s="378"/>
      <c r="N87" s="553">
        <f>IFERROR(VLOOKUP(G87,Ch9_Storage,2, FALSE),0)</f>
        <v>0</v>
      </c>
    </row>
    <row r="88" ht="18.75" customHeight="1">
      <c r="A88" s="598">
        <f>IFERROR(VLOOKUP(H88,PartyStorage,2, FALSE),0)</f>
        <v>0</v>
      </c>
      <c r="B88" s="1227"/>
      <c r="C88" s="1219"/>
      <c r="D88" s="1228"/>
      <c r="E88" s="1218" t="str">
        <f t="shared" si="1"/>
        <v/>
      </c>
      <c r="F88" s="1219"/>
      <c r="G88" s="1229"/>
      <c r="H88" s="1221"/>
      <c r="I88" s="1222"/>
      <c r="M88" s="1223"/>
      <c r="N88" s="553">
        <f>IFERROR(VLOOKUP(G88,Ch9_Storage,2, FALSE),0)</f>
        <v>0</v>
      </c>
    </row>
    <row r="89" ht="18.75" customHeight="1">
      <c r="A89" s="598">
        <f>IFERROR(VLOOKUP(H89,PartyStorage,2, FALSE),0)</f>
        <v>0</v>
      </c>
      <c r="B89" s="1224"/>
      <c r="C89" s="1212"/>
      <c r="D89" s="1225"/>
      <c r="E89" s="1211" t="str">
        <f t="shared" si="1"/>
        <v/>
      </c>
      <c r="F89" s="1212"/>
      <c r="G89" s="1226"/>
      <c r="H89" s="1213"/>
      <c r="I89" s="1214"/>
      <c r="M89" s="378"/>
      <c r="N89" s="553">
        <f>IFERROR(VLOOKUP(G89,Ch9_Storage,2, FALSE),0)</f>
        <v>0</v>
      </c>
    </row>
    <row r="90" ht="18.75" customHeight="1">
      <c r="A90" s="598">
        <f>IFERROR(VLOOKUP(H90,PartyStorage,2, FALSE),0)</f>
        <v>0</v>
      </c>
      <c r="B90" s="1227"/>
      <c r="C90" s="1219"/>
      <c r="D90" s="1228"/>
      <c r="E90" s="1218" t="str">
        <f t="shared" si="1"/>
        <v/>
      </c>
      <c r="F90" s="1219"/>
      <c r="G90" s="1229"/>
      <c r="H90" s="1221"/>
      <c r="I90" s="1222"/>
      <c r="M90" s="1223"/>
      <c r="N90" s="553">
        <f>IFERROR(VLOOKUP(G90,Ch9_Storage,2, FALSE),0)</f>
        <v>0</v>
      </c>
    </row>
    <row r="91" ht="18.75" customHeight="1">
      <c r="A91" s="598">
        <f>IFERROR(VLOOKUP(H91,PartyStorage,2, FALSE),0)</f>
        <v>0</v>
      </c>
      <c r="B91" s="1224"/>
      <c r="C91" s="1212"/>
      <c r="D91" s="1225"/>
      <c r="E91" s="1211" t="str">
        <f t="shared" si="1"/>
        <v/>
      </c>
      <c r="F91" s="1212"/>
      <c r="G91" s="1226"/>
      <c r="H91" s="1213"/>
      <c r="I91" s="1214"/>
      <c r="M91" s="378"/>
      <c r="N91" s="553">
        <f>IFERROR(VLOOKUP(G91,Ch9_Storage,2, FALSE),0)</f>
        <v>0</v>
      </c>
    </row>
    <row r="92" ht="18.75" customHeight="1">
      <c r="A92" s="598">
        <f>IFERROR(VLOOKUP(H92,PartyStorage,2, FALSE),0)</f>
        <v>0</v>
      </c>
      <c r="B92" s="1227"/>
      <c r="C92" s="1219"/>
      <c r="D92" s="1228"/>
      <c r="E92" s="1218" t="str">
        <f t="shared" si="1"/>
        <v/>
      </c>
      <c r="F92" s="1219"/>
      <c r="G92" s="1229"/>
      <c r="H92" s="1221"/>
      <c r="I92" s="1222"/>
      <c r="M92" s="1223"/>
      <c r="N92" s="553">
        <f>IFERROR(VLOOKUP(G92,Ch9_Storage,2, FALSE),0)</f>
        <v>0</v>
      </c>
    </row>
    <row r="93" ht="18.75" customHeight="1">
      <c r="A93" s="598">
        <f>IFERROR(VLOOKUP(H93,PartyStorage,2, FALSE),0)</f>
        <v>0</v>
      </c>
      <c r="B93" s="1224"/>
      <c r="C93" s="1212"/>
      <c r="D93" s="1225"/>
      <c r="E93" s="1211" t="str">
        <f t="shared" si="1"/>
        <v/>
      </c>
      <c r="F93" s="1212"/>
      <c r="G93" s="1226"/>
      <c r="H93" s="1213"/>
      <c r="I93" s="1214"/>
      <c r="M93" s="378"/>
      <c r="N93" s="553">
        <f>IFERROR(VLOOKUP(G93,Ch9_Storage,2, FALSE),0)</f>
        <v>0</v>
      </c>
    </row>
    <row r="94" ht="18.75" customHeight="1">
      <c r="A94" s="598">
        <f>IFERROR(VLOOKUP(H94,PartyStorage,2, FALSE),0)</f>
        <v>0</v>
      </c>
      <c r="B94" s="1227"/>
      <c r="C94" s="1219"/>
      <c r="D94" s="1228"/>
      <c r="E94" s="1218" t="str">
        <f t="shared" si="1"/>
        <v/>
      </c>
      <c r="F94" s="1219"/>
      <c r="G94" s="1229"/>
      <c r="H94" s="1221"/>
      <c r="I94" s="1222"/>
      <c r="M94" s="1223"/>
      <c r="N94" s="553">
        <f>IFERROR(VLOOKUP(G94,Ch9_Storage,2, FALSE),0)</f>
        <v>0</v>
      </c>
    </row>
    <row r="95" ht="18.75" customHeight="1">
      <c r="A95" s="598">
        <f>IFERROR(VLOOKUP(H95,PartyStorage,2, FALSE),0)</f>
        <v>0</v>
      </c>
      <c r="B95" s="1224"/>
      <c r="C95" s="1212"/>
      <c r="D95" s="1225"/>
      <c r="E95" s="1211" t="str">
        <f t="shared" si="1"/>
        <v/>
      </c>
      <c r="F95" s="1212"/>
      <c r="G95" s="1226"/>
      <c r="H95" s="1213"/>
      <c r="I95" s="1214"/>
      <c r="M95" s="378"/>
      <c r="N95" s="553">
        <f>IFERROR(VLOOKUP(G95,Ch9_Storage,2, FALSE),0)</f>
        <v>0</v>
      </c>
    </row>
    <row r="96" ht="18.75" customHeight="1">
      <c r="A96" s="598">
        <f>IFERROR(VLOOKUP(H96,PartyStorage,2, FALSE),0)</f>
        <v>0</v>
      </c>
      <c r="B96" s="1227"/>
      <c r="C96" s="1219"/>
      <c r="D96" s="1228"/>
      <c r="E96" s="1218" t="str">
        <f t="shared" si="1"/>
        <v/>
      </c>
      <c r="F96" s="1219"/>
      <c r="G96" s="1229"/>
      <c r="H96" s="1221"/>
      <c r="I96" s="1222"/>
      <c r="M96" s="1223"/>
      <c r="N96" s="553">
        <f>IFERROR(VLOOKUP(G96,Ch9_Storage,2, FALSE),0)</f>
        <v>0</v>
      </c>
    </row>
    <row r="97" ht="18.75" customHeight="1">
      <c r="A97" s="598">
        <f>IFERROR(VLOOKUP(H97,PartyStorage,2, FALSE),0)</f>
        <v>0</v>
      </c>
      <c r="B97" s="1224"/>
      <c r="C97" s="1212"/>
      <c r="D97" s="1225"/>
      <c r="E97" s="1211" t="str">
        <f t="shared" si="1"/>
        <v/>
      </c>
      <c r="F97" s="1212"/>
      <c r="G97" s="1226"/>
      <c r="H97" s="1213"/>
      <c r="I97" s="1214"/>
      <c r="M97" s="378"/>
      <c r="N97" s="553">
        <f>IFERROR(VLOOKUP(G97,Ch9_Storage,2, FALSE),0)</f>
        <v>0</v>
      </c>
    </row>
    <row r="98" ht="18.75" customHeight="1">
      <c r="A98" s="598">
        <f>IFERROR(VLOOKUP(H98,PartyStorage,2, FALSE),0)</f>
        <v>0</v>
      </c>
      <c r="B98" s="1227"/>
      <c r="C98" s="1219"/>
      <c r="D98" s="1228"/>
      <c r="E98" s="1218" t="str">
        <f t="shared" si="1"/>
        <v/>
      </c>
      <c r="F98" s="1219"/>
      <c r="G98" s="1229"/>
      <c r="H98" s="1221"/>
      <c r="I98" s="1222"/>
      <c r="M98" s="1223"/>
      <c r="N98" s="553">
        <f>IFERROR(VLOOKUP(G98,Ch9_Storage,2, FALSE),0)</f>
        <v>0</v>
      </c>
    </row>
    <row r="99" ht="18.75" customHeight="1">
      <c r="A99" s="598">
        <f>IFERROR(VLOOKUP(H99,PartyStorage,2, FALSE),0)</f>
        <v>0</v>
      </c>
      <c r="B99" s="1224"/>
      <c r="C99" s="1212"/>
      <c r="D99" s="1225"/>
      <c r="E99" s="1211" t="str">
        <f t="shared" si="1"/>
        <v/>
      </c>
      <c r="F99" s="1212"/>
      <c r="G99" s="1226"/>
      <c r="H99" s="1213"/>
      <c r="I99" s="1214"/>
      <c r="M99" s="378"/>
      <c r="N99" s="553">
        <f>IFERROR(VLOOKUP(G99,Ch9_Storage,2, FALSE),0)</f>
        <v>0</v>
      </c>
    </row>
    <row r="100" ht="18.75" customHeight="1">
      <c r="A100" s="598">
        <f>IFERROR(VLOOKUP(H100,PartyStorage,2, FALSE),0)</f>
        <v>0</v>
      </c>
      <c r="B100" s="1227"/>
      <c r="C100" s="1219"/>
      <c r="D100" s="1228"/>
      <c r="E100" s="1218" t="str">
        <f t="shared" si="1"/>
        <v/>
      </c>
      <c r="F100" s="1219"/>
      <c r="G100" s="1229"/>
      <c r="H100" s="1221"/>
      <c r="I100" s="1222"/>
      <c r="M100" s="1223"/>
      <c r="N100" s="553">
        <f>IFERROR(VLOOKUP(G100,Ch9_Storage,2, FALSE),0)</f>
        <v>0</v>
      </c>
    </row>
    <row r="101" ht="18.75" customHeight="1">
      <c r="A101" s="598">
        <f>IFERROR(VLOOKUP(H101,PartyStorage,2, FALSE),0)</f>
        <v>0</v>
      </c>
      <c r="B101" s="1224"/>
      <c r="C101" s="1212"/>
      <c r="D101" s="1225"/>
      <c r="E101" s="1211" t="str">
        <f t="shared" si="1"/>
        <v/>
      </c>
      <c r="F101" s="1212"/>
      <c r="G101" s="1226"/>
      <c r="H101" s="1213"/>
      <c r="I101" s="1214"/>
      <c r="M101" s="378"/>
      <c r="N101" s="553">
        <f>IFERROR(VLOOKUP(G101,Ch9_Storage,2, FALSE),0)</f>
        <v>0</v>
      </c>
    </row>
    <row r="102" ht="18.75" customHeight="1">
      <c r="A102" s="598">
        <f>IFERROR(VLOOKUP(H102,PartyStorage,2, FALSE),0)</f>
        <v>0</v>
      </c>
      <c r="B102" s="1227"/>
      <c r="C102" s="1219"/>
      <c r="D102" s="1228"/>
      <c r="E102" s="1218" t="str">
        <f t="shared" si="1"/>
        <v/>
      </c>
      <c r="F102" s="1219"/>
      <c r="G102" s="1229"/>
      <c r="H102" s="1221"/>
      <c r="I102" s="1222"/>
      <c r="M102" s="1223"/>
      <c r="N102" s="553">
        <f>IFERROR(VLOOKUP(G102,Ch9_Storage,2, FALSE),0)</f>
        <v>0</v>
      </c>
    </row>
    <row r="103" ht="18.75" customHeight="1">
      <c r="A103" s="598">
        <f>IFERROR(VLOOKUP(H103,PartyStorage,2, FALSE),0)</f>
        <v>0</v>
      </c>
      <c r="B103" s="1224"/>
      <c r="C103" s="1212"/>
      <c r="D103" s="1225"/>
      <c r="E103" s="1211" t="str">
        <f t="shared" si="1"/>
        <v/>
      </c>
      <c r="F103" s="1212"/>
      <c r="G103" s="1226"/>
      <c r="H103" s="1213"/>
      <c r="I103" s="1214"/>
      <c r="M103" s="378"/>
      <c r="N103" s="553">
        <f>IFERROR(VLOOKUP(G103,Ch9_Storage,2, FALSE),0)</f>
        <v>0</v>
      </c>
    </row>
    <row r="104" ht="18.75" customHeight="1">
      <c r="A104" s="598">
        <f>IFERROR(VLOOKUP(H104,PartyStorage,2, FALSE),0)</f>
        <v>0</v>
      </c>
      <c r="B104" s="1227"/>
      <c r="C104" s="1219"/>
      <c r="D104" s="1228"/>
      <c r="E104" s="1218" t="str">
        <f t="shared" si="1"/>
        <v/>
      </c>
      <c r="F104" s="1219"/>
      <c r="G104" s="1229"/>
      <c r="H104" s="1221"/>
      <c r="I104" s="1222"/>
      <c r="M104" s="1223"/>
      <c r="N104" s="553">
        <f>IFERROR(VLOOKUP(G104,Ch9_Storage,2, FALSE),0)</f>
        <v>0</v>
      </c>
    </row>
    <row r="105" ht="18.75" customHeight="1">
      <c r="A105" s="598">
        <f>IFERROR(VLOOKUP(H105,PartyStorage,2, FALSE),0)</f>
        <v>0</v>
      </c>
      <c r="B105" s="1224"/>
      <c r="C105" s="1212"/>
      <c r="D105" s="1225"/>
      <c r="E105" s="1211" t="str">
        <f t="shared" si="1"/>
        <v/>
      </c>
      <c r="F105" s="1212"/>
      <c r="G105" s="1226"/>
      <c r="H105" s="1213"/>
      <c r="I105" s="1214"/>
      <c r="M105" s="378"/>
      <c r="N105" s="553">
        <f>IFERROR(VLOOKUP(G105,Ch9_Storage,2, FALSE),0)</f>
        <v>0</v>
      </c>
    </row>
    <row r="106" ht="18.75" customHeight="1">
      <c r="A106" s="598">
        <f>IFERROR(VLOOKUP(H106,PartyStorage,2, FALSE),0)</f>
        <v>0</v>
      </c>
      <c r="B106" s="1227"/>
      <c r="C106" s="1219"/>
      <c r="D106" s="1228"/>
      <c r="E106" s="1218" t="str">
        <f t="shared" si="1"/>
        <v/>
      </c>
      <c r="F106" s="1219"/>
      <c r="G106" s="1229"/>
      <c r="H106" s="1221"/>
      <c r="I106" s="1222"/>
      <c r="M106" s="1223"/>
      <c r="N106" s="553">
        <f>IFERROR(VLOOKUP(G106,Ch9_Storage,2, FALSE),0)</f>
        <v>0</v>
      </c>
    </row>
    <row r="107" ht="18.75" customHeight="1">
      <c r="A107" s="598">
        <f>IFERROR(VLOOKUP(H107,PartyStorage,2, FALSE),0)</f>
        <v>0</v>
      </c>
      <c r="B107" s="1224"/>
      <c r="C107" s="1212"/>
      <c r="D107" s="1225"/>
      <c r="E107" s="1211" t="str">
        <f t="shared" si="1"/>
        <v/>
      </c>
      <c r="F107" s="1212"/>
      <c r="G107" s="1226"/>
      <c r="H107" s="1213"/>
      <c r="I107" s="1214"/>
      <c r="M107" s="378"/>
      <c r="N107" s="553">
        <f>IFERROR(VLOOKUP(G107,Ch9_Storage,2, FALSE),0)</f>
        <v>0</v>
      </c>
    </row>
    <row r="108" ht="18.75" customHeight="1">
      <c r="A108" s="598">
        <f>IFERROR(VLOOKUP(H108,PartyStorage,2, FALSE),0)</f>
        <v>0</v>
      </c>
      <c r="B108" s="1227"/>
      <c r="C108" s="1219"/>
      <c r="D108" s="1228"/>
      <c r="E108" s="1218" t="str">
        <f t="shared" si="1"/>
        <v/>
      </c>
      <c r="F108" s="1219"/>
      <c r="G108" s="1229"/>
      <c r="H108" s="1221"/>
      <c r="I108" s="1222"/>
      <c r="M108" s="1223"/>
      <c r="N108" s="553">
        <f>IFERROR(VLOOKUP(G108,Ch9_Storage,2, FALSE),0)</f>
        <v>0</v>
      </c>
    </row>
    <row r="109" ht="18.75" customHeight="1">
      <c r="A109" s="598">
        <f>IFERROR(VLOOKUP(H109,PartyStorage,2, FALSE),0)</f>
        <v>0</v>
      </c>
      <c r="B109" s="1224"/>
      <c r="C109" s="1212"/>
      <c r="D109" s="1225"/>
      <c r="E109" s="1211" t="str">
        <f t="shared" si="1"/>
        <v/>
      </c>
      <c r="F109" s="1212"/>
      <c r="G109" s="1226"/>
      <c r="H109" s="1213"/>
      <c r="I109" s="1214"/>
      <c r="M109" s="378"/>
      <c r="N109" s="553">
        <f>IFERROR(VLOOKUP(G109,Ch9_Storage,2, FALSE),0)</f>
        <v>0</v>
      </c>
    </row>
    <row r="110" ht="18.75" customHeight="1">
      <c r="A110" s="598">
        <f>IFERROR(VLOOKUP(H110,PartyStorage,2, FALSE),0)</f>
        <v>0</v>
      </c>
      <c r="B110" s="1227"/>
      <c r="C110" s="1219"/>
      <c r="D110" s="1228"/>
      <c r="E110" s="1218" t="str">
        <f t="shared" si="1"/>
        <v/>
      </c>
      <c r="F110" s="1219"/>
      <c r="G110" s="1229"/>
      <c r="H110" s="1221"/>
      <c r="I110" s="1222"/>
      <c r="M110" s="1223"/>
      <c r="N110" s="553">
        <f>IFERROR(VLOOKUP(G110,Ch9_Storage,2, FALSE),0)</f>
        <v>0</v>
      </c>
    </row>
    <row r="111" ht="18.75" customHeight="1">
      <c r="A111" s="598">
        <f>IFERROR(VLOOKUP(H111,PartyStorage,2, FALSE),0)</f>
        <v>0</v>
      </c>
      <c r="B111" s="1224"/>
      <c r="C111" s="1212"/>
      <c r="D111" s="1225"/>
      <c r="E111" s="1211" t="str">
        <f t="shared" si="1"/>
        <v/>
      </c>
      <c r="F111" s="1212"/>
      <c r="G111" s="1226"/>
      <c r="H111" s="1213"/>
      <c r="I111" s="1214"/>
      <c r="M111" s="378"/>
      <c r="N111" s="553">
        <f>IFERROR(VLOOKUP(G111,Ch9_Storage,2, FALSE),0)</f>
        <v>0</v>
      </c>
    </row>
    <row r="112" ht="18.75" customHeight="1">
      <c r="A112" s="598">
        <f>IFERROR(VLOOKUP(H112,PartyStorage,2, FALSE),0)</f>
        <v>0</v>
      </c>
      <c r="B112" s="1227"/>
      <c r="C112" s="1219"/>
      <c r="D112" s="1228"/>
      <c r="E112" s="1218" t="str">
        <f t="shared" si="1"/>
        <v/>
      </c>
      <c r="F112" s="1219"/>
      <c r="G112" s="1229"/>
      <c r="H112" s="1221"/>
      <c r="I112" s="1222"/>
      <c r="M112" s="1223"/>
      <c r="N112" s="553">
        <f>IFERROR(VLOOKUP(G112,Ch9_Storage,2, FALSE),0)</f>
        <v>0</v>
      </c>
    </row>
    <row r="113" ht="18.75" customHeight="1">
      <c r="A113" s="598">
        <f>IFERROR(VLOOKUP(H113,PartyStorage,2, FALSE),0)</f>
        <v>0</v>
      </c>
      <c r="B113" s="1224"/>
      <c r="C113" s="1212"/>
      <c r="D113" s="1225"/>
      <c r="E113" s="1211" t="str">
        <f t="shared" si="1"/>
        <v/>
      </c>
      <c r="F113" s="1212"/>
      <c r="G113" s="1226"/>
      <c r="H113" s="1213"/>
      <c r="I113" s="1214"/>
      <c r="M113" s="378"/>
      <c r="N113" s="553">
        <f>IFERROR(VLOOKUP(G113,Ch9_Storage,2, FALSE),0)</f>
        <v>0</v>
      </c>
    </row>
    <row r="114" ht="18.75" customHeight="1">
      <c r="A114" s="598">
        <f>IFERROR(VLOOKUP(H114,PartyStorage,2, FALSE),0)</f>
        <v>0</v>
      </c>
      <c r="B114" s="1227"/>
      <c r="C114" s="1219"/>
      <c r="D114" s="1228"/>
      <c r="E114" s="1218" t="str">
        <f t="shared" si="1"/>
        <v/>
      </c>
      <c r="F114" s="1219"/>
      <c r="G114" s="1229"/>
      <c r="H114" s="1221"/>
      <c r="I114" s="1222"/>
      <c r="M114" s="1223"/>
      <c r="N114" s="553">
        <f>IFERROR(VLOOKUP(G114,Ch9_Storage,2, FALSE),0)</f>
        <v>0</v>
      </c>
    </row>
    <row r="115" ht="18.75" customHeight="1">
      <c r="A115" s="598">
        <f>IFERROR(VLOOKUP(H115,PartyStorage,2, FALSE),0)</f>
        <v>0</v>
      </c>
      <c r="B115" s="1224"/>
      <c r="C115" s="1212"/>
      <c r="D115" s="1225"/>
      <c r="E115" s="1211" t="str">
        <f t="shared" si="1"/>
        <v/>
      </c>
      <c r="F115" s="1212"/>
      <c r="G115" s="1226"/>
      <c r="H115" s="1213"/>
      <c r="I115" s="1214"/>
      <c r="M115" s="378"/>
      <c r="N115" s="553">
        <f>IFERROR(VLOOKUP(G115,Ch9_Storage,2, FALSE),0)</f>
        <v>0</v>
      </c>
    </row>
    <row r="116" ht="18.75" customHeight="1">
      <c r="A116" s="598">
        <f>IFERROR(VLOOKUP(H116,PartyStorage,2, FALSE),0)</f>
        <v>0</v>
      </c>
      <c r="B116" s="1227"/>
      <c r="C116" s="1219"/>
      <c r="D116" s="1228"/>
      <c r="E116" s="1218" t="str">
        <f t="shared" si="1"/>
        <v/>
      </c>
      <c r="F116" s="1219"/>
      <c r="G116" s="1229"/>
      <c r="H116" s="1221"/>
      <c r="I116" s="1222"/>
      <c r="M116" s="1223"/>
      <c r="N116" s="553">
        <f>IFERROR(VLOOKUP(G116,Ch9_Storage,2, FALSE),0)</f>
        <v>0</v>
      </c>
    </row>
    <row r="117" ht="18.75" customHeight="1">
      <c r="A117" s="598">
        <f>IFERROR(VLOOKUP(H117,PartyStorage,2, FALSE),0)</f>
        <v>0</v>
      </c>
      <c r="B117" s="1224"/>
      <c r="C117" s="1212"/>
      <c r="D117" s="1225"/>
      <c r="E117" s="1211" t="str">
        <f t="shared" si="1"/>
        <v/>
      </c>
      <c r="F117" s="1212"/>
      <c r="G117" s="1226"/>
      <c r="H117" s="1213"/>
      <c r="I117" s="1214"/>
      <c r="M117" s="378"/>
      <c r="N117" s="553">
        <f>IFERROR(VLOOKUP(G117,Ch9_Storage,2, FALSE),0)</f>
        <v>0</v>
      </c>
    </row>
    <row r="118" ht="18.75" customHeight="1">
      <c r="A118" s="598">
        <f>IFERROR(VLOOKUP(H118,PartyStorage,2, FALSE),0)</f>
        <v>0</v>
      </c>
      <c r="B118" s="1227"/>
      <c r="C118" s="1219"/>
      <c r="D118" s="1228"/>
      <c r="E118" s="1218" t="str">
        <f t="shared" si="1"/>
        <v/>
      </c>
      <c r="F118" s="1219"/>
      <c r="G118" s="1229"/>
      <c r="H118" s="1221"/>
      <c r="I118" s="1222"/>
      <c r="M118" s="1223"/>
      <c r="N118" s="553">
        <f>IFERROR(VLOOKUP(G118,Ch9_Storage,2, FALSE),0)</f>
        <v>0</v>
      </c>
    </row>
    <row r="119" ht="18.75" customHeight="1">
      <c r="A119" s="598">
        <f>IFERROR(VLOOKUP(H119,PartyStorage,2, FALSE),0)</f>
        <v>0</v>
      </c>
      <c r="B119" s="1224"/>
      <c r="C119" s="1212"/>
      <c r="D119" s="1225"/>
      <c r="E119" s="1211" t="str">
        <f t="shared" si="1"/>
        <v/>
      </c>
      <c r="F119" s="1212"/>
      <c r="G119" s="1226"/>
      <c r="H119" s="1213"/>
      <c r="I119" s="1214"/>
      <c r="M119" s="378"/>
      <c r="N119" s="553">
        <f>IFERROR(VLOOKUP(G119,Ch9_Storage,2, FALSE),0)</f>
        <v>0</v>
      </c>
    </row>
    <row r="120" ht="18.75" customHeight="1">
      <c r="A120" s="598">
        <f>IFERROR(VLOOKUP(H120,PartyStorage,2, FALSE),0)</f>
        <v>0</v>
      </c>
      <c r="B120" s="1227"/>
      <c r="C120" s="1219"/>
      <c r="D120" s="1228"/>
      <c r="E120" s="1218" t="str">
        <f t="shared" si="1"/>
        <v/>
      </c>
      <c r="F120" s="1219"/>
      <c r="G120" s="1229"/>
      <c r="H120" s="1221"/>
      <c r="I120" s="1222"/>
      <c r="M120" s="1223"/>
      <c r="N120" s="553">
        <f>IFERROR(VLOOKUP(G120,Ch9_Storage,2, FALSE),0)</f>
        <v>0</v>
      </c>
    </row>
    <row r="121" ht="18.75" customHeight="1">
      <c r="A121" s="598">
        <f>IFERROR(VLOOKUP(H121,PartyStorage,2, FALSE),0)</f>
        <v>0</v>
      </c>
      <c r="B121" s="1224"/>
      <c r="C121" s="1212"/>
      <c r="D121" s="1225"/>
      <c r="E121" s="1211" t="str">
        <f t="shared" si="1"/>
        <v/>
      </c>
      <c r="F121" s="1212"/>
      <c r="G121" s="1226"/>
      <c r="H121" s="1213"/>
      <c r="I121" s="1214"/>
      <c r="M121" s="378"/>
      <c r="N121" s="553">
        <f>IFERROR(VLOOKUP(G121,Ch9_Storage,2, FALSE),0)</f>
        <v>0</v>
      </c>
    </row>
    <row r="122" ht="18.75" customHeight="1">
      <c r="A122" s="598">
        <f>IFERROR(VLOOKUP(H122,PartyStorage,2, FALSE),0)</f>
        <v>0</v>
      </c>
      <c r="B122" s="1227"/>
      <c r="C122" s="1219"/>
      <c r="D122" s="1228"/>
      <c r="E122" s="1218" t="str">
        <f t="shared" si="1"/>
        <v/>
      </c>
      <c r="F122" s="1219"/>
      <c r="G122" s="1229"/>
      <c r="H122" s="1221"/>
      <c r="I122" s="1222"/>
      <c r="M122" s="1223"/>
      <c r="N122" s="553">
        <f>IFERROR(VLOOKUP(G122,Ch9_Storage,2, FALSE),0)</f>
        <v>0</v>
      </c>
    </row>
    <row r="123" ht="18.75" customHeight="1">
      <c r="A123" s="598">
        <f>IFERROR(VLOOKUP(H123,PartyStorage,2, FALSE),0)</f>
        <v>0</v>
      </c>
      <c r="B123" s="1224"/>
      <c r="C123" s="1212"/>
      <c r="D123" s="1225"/>
      <c r="E123" s="1211" t="str">
        <f t="shared" si="1"/>
        <v/>
      </c>
      <c r="F123" s="1212"/>
      <c r="G123" s="1226"/>
      <c r="H123" s="1213"/>
      <c r="I123" s="1214"/>
      <c r="M123" s="378"/>
      <c r="N123" s="553">
        <f>IFERROR(VLOOKUP(G123,Ch9_Storage,2, FALSE),0)</f>
        <v>0</v>
      </c>
    </row>
    <row r="124" ht="18.75" customHeight="1">
      <c r="A124" s="598">
        <f>IFERROR(VLOOKUP(H124,PartyStorage,2, FALSE),0)</f>
        <v>0</v>
      </c>
      <c r="B124" s="1227"/>
      <c r="C124" s="1219"/>
      <c r="D124" s="1228"/>
      <c r="E124" s="1218" t="str">
        <f t="shared" si="1"/>
        <v/>
      </c>
      <c r="F124" s="1219"/>
      <c r="G124" s="1229"/>
      <c r="H124" s="1221"/>
      <c r="I124" s="1222"/>
      <c r="M124" s="1223"/>
      <c r="N124" s="553">
        <f>IFERROR(VLOOKUP(G124,Ch9_Storage,2, FALSE),0)</f>
        <v>0</v>
      </c>
    </row>
    <row r="125" ht="18.75" customHeight="1">
      <c r="A125" s="598">
        <f>IFERROR(VLOOKUP(H125,PartyStorage,2, FALSE),0)</f>
        <v>0</v>
      </c>
      <c r="B125" s="1224"/>
      <c r="C125" s="1212"/>
      <c r="D125" s="1225"/>
      <c r="E125" s="1211" t="str">
        <f t="shared" si="1"/>
        <v/>
      </c>
      <c r="F125" s="1212"/>
      <c r="G125" s="1226"/>
      <c r="H125" s="1213"/>
      <c r="I125" s="1214"/>
      <c r="M125" s="378"/>
      <c r="N125" s="553">
        <f>IFERROR(VLOOKUP(G125,Ch9_Storage,2, FALSE),0)</f>
        <v>0</v>
      </c>
    </row>
    <row r="126" ht="18.75" customHeight="1">
      <c r="A126" s="598">
        <f>IFERROR(VLOOKUP(H126,PartyStorage,2, FALSE),0)</f>
        <v>0</v>
      </c>
      <c r="B126" s="1227"/>
      <c r="C126" s="1219"/>
      <c r="D126" s="1228"/>
      <c r="E126" s="1218" t="str">
        <f t="shared" si="1"/>
        <v/>
      </c>
      <c r="F126" s="1219"/>
      <c r="G126" s="1229"/>
      <c r="H126" s="1221"/>
      <c r="I126" s="1222"/>
      <c r="M126" s="1223"/>
      <c r="N126" s="553">
        <f>IFERROR(VLOOKUP(G126,Ch9_Storage,2, FALSE),0)</f>
        <v>0</v>
      </c>
    </row>
    <row r="127" ht="18.75" customHeight="1">
      <c r="A127" s="598">
        <f>IFERROR(VLOOKUP(H127,PartyStorage,2, FALSE),0)</f>
        <v>0</v>
      </c>
      <c r="B127" s="1224"/>
      <c r="C127" s="1212"/>
      <c r="D127" s="1225"/>
      <c r="E127" s="1211" t="str">
        <f t="shared" si="1"/>
        <v/>
      </c>
      <c r="F127" s="1212"/>
      <c r="G127" s="1226"/>
      <c r="H127" s="1213"/>
      <c r="I127" s="1214"/>
      <c r="M127" s="378"/>
      <c r="N127" s="553">
        <f>IFERROR(VLOOKUP(G127,Ch9_Storage,2, FALSE),0)</f>
        <v>0</v>
      </c>
    </row>
    <row r="128" ht="18.75" customHeight="1">
      <c r="A128" s="598">
        <f>IFERROR(VLOOKUP(H128,PartyStorage,2, FALSE),0)</f>
        <v>0</v>
      </c>
      <c r="B128" s="1227"/>
      <c r="C128" s="1219"/>
      <c r="D128" s="1228"/>
      <c r="E128" s="1218" t="str">
        <f t="shared" si="1"/>
        <v/>
      </c>
      <c r="F128" s="1219"/>
      <c r="G128" s="1229"/>
      <c r="H128" s="1221"/>
      <c r="I128" s="1222"/>
      <c r="M128" s="1223"/>
      <c r="N128" s="553">
        <f>IFERROR(VLOOKUP(G128,Ch9_Storage,2, FALSE),0)</f>
        <v>0</v>
      </c>
    </row>
    <row r="129" ht="18.75" customHeight="1">
      <c r="A129" s="598">
        <f>IFERROR(VLOOKUP(H129,PartyStorage,2, FALSE),0)</f>
        <v>0</v>
      </c>
      <c r="B129" s="1224"/>
      <c r="C129" s="1212"/>
      <c r="D129" s="1225"/>
      <c r="E129" s="1211" t="str">
        <f t="shared" si="1"/>
        <v/>
      </c>
      <c r="F129" s="1212"/>
      <c r="G129" s="1226"/>
      <c r="H129" s="1213"/>
      <c r="I129" s="1214"/>
      <c r="M129" s="378"/>
      <c r="N129" s="553">
        <f>IFERROR(VLOOKUP(G129,Ch9_Storage,2, FALSE),0)</f>
        <v>0</v>
      </c>
    </row>
    <row r="130" ht="18.75" customHeight="1">
      <c r="A130" s="598">
        <f>IFERROR(VLOOKUP(H130,PartyStorage,2, FALSE),0)</f>
        <v>0</v>
      </c>
      <c r="B130" s="1227"/>
      <c r="C130" s="1219"/>
      <c r="D130" s="1228"/>
      <c r="E130" s="1218" t="str">
        <f t="shared" si="1"/>
        <v/>
      </c>
      <c r="F130" s="1219"/>
      <c r="G130" s="1229"/>
      <c r="H130" s="1221"/>
      <c r="I130" s="1222"/>
      <c r="M130" s="1223"/>
      <c r="N130" s="553">
        <f>IFERROR(VLOOKUP(G130,Ch9_Storage,2, FALSE),0)</f>
        <v>0</v>
      </c>
    </row>
    <row r="131" ht="18.75" customHeight="1">
      <c r="A131" s="598">
        <f>IFERROR(VLOOKUP(H131,PartyStorage,2, FALSE),0)</f>
        <v>0</v>
      </c>
      <c r="B131" s="1224"/>
      <c r="C131" s="1212"/>
      <c r="D131" s="1225"/>
      <c r="E131" s="1211" t="str">
        <f t="shared" si="1"/>
        <v/>
      </c>
      <c r="F131" s="1212"/>
      <c r="G131" s="1226"/>
      <c r="H131" s="1213"/>
      <c r="I131" s="1214"/>
      <c r="M131" s="378"/>
      <c r="N131" s="553">
        <f>IFERROR(VLOOKUP(G131,Ch9_Storage,2, FALSE),0)</f>
        <v>0</v>
      </c>
    </row>
    <row r="132" ht="18.75" customHeight="1">
      <c r="A132" s="598">
        <f>IFERROR(VLOOKUP(H132,PartyStorage,2, FALSE),0)</f>
        <v>0</v>
      </c>
      <c r="B132" s="1227"/>
      <c r="C132" s="1219"/>
      <c r="D132" s="1228"/>
      <c r="E132" s="1218" t="str">
        <f t="shared" si="1"/>
        <v/>
      </c>
      <c r="F132" s="1219"/>
      <c r="G132" s="1229"/>
      <c r="H132" s="1221"/>
      <c r="I132" s="1222"/>
      <c r="M132" s="1223"/>
      <c r="N132" s="553">
        <f>IFERROR(VLOOKUP(G132,Ch9_Storage,2, FALSE),0)</f>
        <v>0</v>
      </c>
    </row>
    <row r="133" ht="18.75" customHeight="1">
      <c r="A133" s="598">
        <f>IFERROR(VLOOKUP(H133,PartyStorage,2, FALSE),0)</f>
        <v>0</v>
      </c>
      <c r="B133" s="1224"/>
      <c r="C133" s="1212"/>
      <c r="D133" s="1225"/>
      <c r="E133" s="1211" t="str">
        <f t="shared" si="1"/>
        <v/>
      </c>
      <c r="F133" s="1212"/>
      <c r="G133" s="1226"/>
      <c r="H133" s="1213"/>
      <c r="I133" s="1214"/>
      <c r="M133" s="378"/>
      <c r="N133" s="553">
        <f>IFERROR(VLOOKUP(G133,Ch9_Storage,2, FALSE),0)</f>
        <v>0</v>
      </c>
    </row>
    <row r="134" ht="18.75" customHeight="1">
      <c r="A134" s="598">
        <f>IFERROR(VLOOKUP(H134,PartyStorage,2, FALSE),0)</f>
        <v>0</v>
      </c>
      <c r="B134" s="1227"/>
      <c r="C134" s="1219"/>
      <c r="D134" s="1228"/>
      <c r="E134" s="1218" t="str">
        <f t="shared" si="1"/>
        <v/>
      </c>
      <c r="F134" s="1219"/>
      <c r="G134" s="1229"/>
      <c r="H134" s="1221"/>
      <c r="I134" s="1222"/>
      <c r="M134" s="1223"/>
      <c r="N134" s="553">
        <f>IFERROR(VLOOKUP(G134,Ch9_Storage,2, FALSE),0)</f>
        <v>0</v>
      </c>
    </row>
    <row r="135" ht="18.75" customHeight="1">
      <c r="A135" s="598">
        <f>IFERROR(VLOOKUP(H135,PartyStorage,2, FALSE),0)</f>
        <v>0</v>
      </c>
      <c r="B135" s="1224"/>
      <c r="C135" s="1212"/>
      <c r="D135" s="1225"/>
      <c r="E135" s="1211" t="str">
        <f t="shared" si="1"/>
        <v/>
      </c>
      <c r="F135" s="1212"/>
      <c r="G135" s="1226"/>
      <c r="H135" s="1213"/>
      <c r="I135" s="1214"/>
      <c r="M135" s="378"/>
      <c r="N135" s="553">
        <f>IFERROR(VLOOKUP(G135,Ch9_Storage,2, FALSE),0)</f>
        <v>0</v>
      </c>
    </row>
    <row r="136" ht="18.75" customHeight="1">
      <c r="A136" s="598">
        <f>IFERROR(VLOOKUP(H136,PartyStorage,2, FALSE),0)</f>
        <v>0</v>
      </c>
      <c r="B136" s="1227"/>
      <c r="C136" s="1219"/>
      <c r="D136" s="1228"/>
      <c r="E136" s="1218" t="str">
        <f t="shared" si="1"/>
        <v/>
      </c>
      <c r="F136" s="1219"/>
      <c r="G136" s="1229"/>
      <c r="H136" s="1221"/>
      <c r="I136" s="1222"/>
      <c r="M136" s="1223"/>
      <c r="N136" s="553">
        <f>IFERROR(VLOOKUP(G136,Ch9_Storage,2, FALSE),0)</f>
        <v>0</v>
      </c>
    </row>
    <row r="137" ht="18.75" customHeight="1">
      <c r="A137" s="598">
        <f>IFERROR(VLOOKUP(H137,PartyStorage,2, FALSE),0)</f>
        <v>0</v>
      </c>
      <c r="B137" s="1224"/>
      <c r="C137" s="1212"/>
      <c r="D137" s="1225"/>
      <c r="E137" s="1211" t="str">
        <f t="shared" si="1"/>
        <v/>
      </c>
      <c r="F137" s="1212"/>
      <c r="G137" s="1226"/>
      <c r="H137" s="1213"/>
      <c r="I137" s="1214"/>
      <c r="M137" s="378"/>
      <c r="N137" s="553">
        <f>IFERROR(VLOOKUP(G137,Ch9_Storage,2, FALSE),0)</f>
        <v>0</v>
      </c>
    </row>
    <row r="138" ht="18.75" customHeight="1">
      <c r="A138" s="598">
        <f>IFERROR(VLOOKUP(H138,PartyStorage,2, FALSE),0)</f>
        <v>0</v>
      </c>
      <c r="B138" s="1227"/>
      <c r="C138" s="1219"/>
      <c r="D138" s="1228"/>
      <c r="E138" s="1218" t="str">
        <f t="shared" si="1"/>
        <v/>
      </c>
      <c r="F138" s="1219"/>
      <c r="G138" s="1229"/>
      <c r="H138" s="1221"/>
      <c r="I138" s="1222"/>
      <c r="M138" s="1223"/>
      <c r="N138" s="553">
        <f>IFERROR(VLOOKUP(G138,Ch9_Storage,2, FALSE),0)</f>
        <v>0</v>
      </c>
    </row>
    <row r="139" ht="18.75" customHeight="1">
      <c r="A139" s="598">
        <f>IFERROR(VLOOKUP(H139,PartyStorage,2, FALSE),0)</f>
        <v>0</v>
      </c>
      <c r="B139" s="1224"/>
      <c r="C139" s="1212"/>
      <c r="D139" s="1225"/>
      <c r="E139" s="1211" t="str">
        <f t="shared" si="1"/>
        <v/>
      </c>
      <c r="F139" s="1212"/>
      <c r="G139" s="1226"/>
      <c r="H139" s="1213"/>
      <c r="I139" s="1214"/>
      <c r="M139" s="378"/>
      <c r="N139" s="553">
        <f>IFERROR(VLOOKUP(G139,Ch9_Storage,2, FALSE),0)</f>
        <v>0</v>
      </c>
    </row>
    <row r="140" ht="18.75" customHeight="1">
      <c r="A140" s="598">
        <f>IFERROR(VLOOKUP(H140,PartyStorage,2, FALSE),0)</f>
        <v>0</v>
      </c>
      <c r="B140" s="1227"/>
      <c r="C140" s="1219"/>
      <c r="D140" s="1228"/>
      <c r="E140" s="1218" t="str">
        <f t="shared" si="1"/>
        <v/>
      </c>
      <c r="F140" s="1219"/>
      <c r="G140" s="1229"/>
      <c r="H140" s="1221"/>
      <c r="I140" s="1222"/>
      <c r="M140" s="1223"/>
      <c r="N140" s="553">
        <f>IFERROR(VLOOKUP(G140,Ch9_Storage,2, FALSE),0)</f>
        <v>0</v>
      </c>
    </row>
    <row r="141" ht="18.75" customHeight="1">
      <c r="A141" s="598">
        <f>IFERROR(VLOOKUP(H141,PartyStorage,2, FALSE),0)</f>
        <v>0</v>
      </c>
      <c r="B141" s="1224"/>
      <c r="C141" s="1212"/>
      <c r="D141" s="1225"/>
      <c r="E141" s="1211" t="str">
        <f t="shared" si="1"/>
        <v/>
      </c>
      <c r="F141" s="1212"/>
      <c r="G141" s="1226"/>
      <c r="H141" s="1213"/>
      <c r="I141" s="1214"/>
      <c r="M141" s="378"/>
      <c r="N141" s="553">
        <f>IFERROR(VLOOKUP(G141,Ch9_Storage,2, FALSE),0)</f>
        <v>0</v>
      </c>
    </row>
    <row r="142" ht="18.75" customHeight="1">
      <c r="A142" s="598">
        <f>IFERROR(VLOOKUP(H142,PartyStorage,2, FALSE),0)</f>
        <v>0</v>
      </c>
      <c r="B142" s="1227"/>
      <c r="C142" s="1219"/>
      <c r="D142" s="1228"/>
      <c r="E142" s="1218" t="str">
        <f t="shared" si="1"/>
        <v/>
      </c>
      <c r="F142" s="1219"/>
      <c r="G142" s="1229"/>
      <c r="H142" s="1221"/>
      <c r="I142" s="1222"/>
      <c r="M142" s="1223"/>
      <c r="N142" s="553">
        <f>IFERROR(VLOOKUP(G142,Ch9_Storage,2, FALSE),0)</f>
        <v>0</v>
      </c>
    </row>
    <row r="143" ht="18.75" customHeight="1">
      <c r="A143" s="598">
        <f>IFERROR(VLOOKUP(H143,PartyStorage,2, FALSE),0)</f>
        <v>0</v>
      </c>
      <c r="B143" s="1224"/>
      <c r="C143" s="1212"/>
      <c r="D143" s="1225"/>
      <c r="E143" s="1211" t="str">
        <f t="shared" si="1"/>
        <v/>
      </c>
      <c r="F143" s="1212"/>
      <c r="G143" s="1226"/>
      <c r="H143" s="1213"/>
      <c r="I143" s="1214"/>
      <c r="M143" s="378"/>
      <c r="N143" s="553">
        <f>IFERROR(VLOOKUP(G143,Ch9_Storage,2, FALSE),0)</f>
        <v>0</v>
      </c>
    </row>
    <row r="144" ht="18.75" customHeight="1">
      <c r="A144" s="598">
        <f>IFERROR(VLOOKUP(H144,PartyStorage,2, FALSE),0)</f>
        <v>0</v>
      </c>
      <c r="B144" s="1227"/>
      <c r="C144" s="1219"/>
      <c r="D144" s="1228"/>
      <c r="E144" s="1218" t="str">
        <f t="shared" si="1"/>
        <v/>
      </c>
      <c r="F144" s="1219"/>
      <c r="G144" s="1229"/>
      <c r="H144" s="1221"/>
      <c r="I144" s="1222"/>
      <c r="M144" s="1223"/>
      <c r="N144" s="553">
        <f>IFERROR(VLOOKUP(G144,Ch9_Storage,2, FALSE),0)</f>
        <v>0</v>
      </c>
    </row>
    <row r="145" ht="18.75" customHeight="1">
      <c r="A145" s="598">
        <f>IFERROR(VLOOKUP(H145,PartyStorage,2, FALSE),0)</f>
        <v>0</v>
      </c>
      <c r="B145" s="1224"/>
      <c r="C145" s="1212"/>
      <c r="D145" s="1225"/>
      <c r="E145" s="1211" t="str">
        <f t="shared" si="1"/>
        <v/>
      </c>
      <c r="F145" s="1212"/>
      <c r="G145" s="1226"/>
      <c r="H145" s="1213"/>
      <c r="I145" s="1214"/>
      <c r="M145" s="378"/>
      <c r="N145" s="553">
        <f>IFERROR(VLOOKUP(G145,Ch9_Storage,2, FALSE),0)</f>
        <v>0</v>
      </c>
    </row>
    <row r="146" ht="18.75" customHeight="1">
      <c r="A146" s="598">
        <f>IFERROR(VLOOKUP(H146,PartyStorage,2, FALSE),0)</f>
        <v>0</v>
      </c>
      <c r="B146" s="1227"/>
      <c r="C146" s="1219"/>
      <c r="D146" s="1228"/>
      <c r="E146" s="1218" t="str">
        <f t="shared" si="1"/>
        <v/>
      </c>
      <c r="F146" s="1219"/>
      <c r="G146" s="1229"/>
      <c r="H146" s="1221"/>
      <c r="I146" s="1222"/>
      <c r="M146" s="1223"/>
      <c r="N146" s="553">
        <f>IFERROR(VLOOKUP(G146,Ch9_Storage,2, FALSE),0)</f>
        <v>0</v>
      </c>
    </row>
    <row r="147" ht="18.75" customHeight="1">
      <c r="A147" s="598">
        <f>IFERROR(VLOOKUP(H147,PartyStorage,2, FALSE),0)</f>
        <v>0</v>
      </c>
      <c r="B147" s="1224"/>
      <c r="C147" s="1212"/>
      <c r="D147" s="1225"/>
      <c r="E147" s="1211" t="str">
        <f t="shared" si="1"/>
        <v/>
      </c>
      <c r="F147" s="1212"/>
      <c r="G147" s="1226"/>
      <c r="H147" s="1213"/>
      <c r="I147" s="1214"/>
      <c r="M147" s="378"/>
      <c r="N147" s="553">
        <f>IFERROR(VLOOKUP(G147,Ch9_Storage,2, FALSE),0)</f>
        <v>0</v>
      </c>
    </row>
    <row r="148" ht="18.75" customHeight="1">
      <c r="A148" s="598">
        <f>IFERROR(VLOOKUP(H148,PartyStorage,2, FALSE),0)</f>
        <v>0</v>
      </c>
      <c r="B148" s="1227"/>
      <c r="C148" s="1219"/>
      <c r="D148" s="1228"/>
      <c r="E148" s="1218" t="str">
        <f t="shared" si="1"/>
        <v/>
      </c>
      <c r="F148" s="1219"/>
      <c r="G148" s="1229"/>
      <c r="H148" s="1221"/>
      <c r="I148" s="1222"/>
      <c r="M148" s="1223"/>
      <c r="N148" s="553">
        <f>IFERROR(VLOOKUP(G148,Ch9_Storage,2, FALSE),0)</f>
        <v>0</v>
      </c>
    </row>
    <row r="149" ht="18.75" customHeight="1">
      <c r="A149" s="598">
        <f>IFERROR(VLOOKUP(H149,PartyStorage,2, FALSE),0)</f>
        <v>0</v>
      </c>
      <c r="B149" s="1224"/>
      <c r="C149" s="1212"/>
      <c r="D149" s="1225"/>
      <c r="E149" s="1211" t="str">
        <f t="shared" si="1"/>
        <v/>
      </c>
      <c r="F149" s="1212"/>
      <c r="G149" s="1226"/>
      <c r="H149" s="1213"/>
      <c r="I149" s="1214"/>
      <c r="M149" s="378"/>
      <c r="N149" s="553">
        <f>IFERROR(VLOOKUP(G149,Ch9_Storage,2, FALSE),0)</f>
        <v>0</v>
      </c>
    </row>
    <row r="150" ht="18.75" customHeight="1">
      <c r="A150" s="598">
        <f>IFERROR(VLOOKUP(H150,PartyStorage,2, FALSE),0)</f>
        <v>0</v>
      </c>
      <c r="B150" s="1227"/>
      <c r="C150" s="1219"/>
      <c r="D150" s="1228"/>
      <c r="E150" s="1218" t="str">
        <f t="shared" si="1"/>
        <v/>
      </c>
      <c r="F150" s="1219"/>
      <c r="G150" s="1229"/>
      <c r="H150" s="1221"/>
      <c r="I150" s="1222"/>
      <c r="M150" s="1223"/>
      <c r="N150" s="553">
        <f>IFERROR(VLOOKUP(G150,Ch9_Storage,2, FALSE),0)</f>
        <v>0</v>
      </c>
    </row>
    <row r="151" ht="18.75" customHeight="1">
      <c r="A151" s="598">
        <f>IFERROR(VLOOKUP(H151,PartyStorage,2, FALSE),0)</f>
        <v>0</v>
      </c>
      <c r="B151" s="1224"/>
      <c r="C151" s="1212"/>
      <c r="D151" s="1225"/>
      <c r="E151" s="1211" t="str">
        <f t="shared" si="1"/>
        <v/>
      </c>
      <c r="F151" s="1212"/>
      <c r="G151" s="1226"/>
      <c r="H151" s="1213"/>
      <c r="I151" s="1214"/>
      <c r="M151" s="378"/>
      <c r="N151" s="553">
        <f>IFERROR(VLOOKUP(G151,Ch9_Storage,2, FALSE),0)</f>
        <v>0</v>
      </c>
    </row>
    <row r="152" ht="18.75" customHeight="1">
      <c r="A152" s="598">
        <f>IFERROR(VLOOKUP(H152,PartyStorage,2, FALSE),0)</f>
        <v>0</v>
      </c>
      <c r="B152" s="1227"/>
      <c r="C152" s="1219"/>
      <c r="D152" s="1228"/>
      <c r="E152" s="1218" t="str">
        <f t="shared" si="1"/>
        <v/>
      </c>
      <c r="F152" s="1219"/>
      <c r="G152" s="1229"/>
      <c r="H152" s="1221"/>
      <c r="I152" s="1222"/>
      <c r="M152" s="1223"/>
      <c r="N152" s="553">
        <f>IFERROR(VLOOKUP(G152,Ch9_Storage,2, FALSE),0)</f>
        <v>0</v>
      </c>
    </row>
    <row r="153" ht="18.75" customHeight="1">
      <c r="A153" s="598">
        <f>IFERROR(VLOOKUP(H153,PartyStorage,2, FALSE),0)</f>
        <v>0</v>
      </c>
      <c r="B153" s="1224"/>
      <c r="C153" s="1212"/>
      <c r="D153" s="1225"/>
      <c r="E153" s="1211" t="str">
        <f t="shared" si="1"/>
        <v/>
      </c>
      <c r="F153" s="1212"/>
      <c r="G153" s="1226"/>
      <c r="H153" s="1213"/>
      <c r="I153" s="1214"/>
      <c r="M153" s="378"/>
      <c r="N153" s="553">
        <f>IFERROR(VLOOKUP(G153,Ch9_Storage,2, FALSE),0)</f>
        <v>0</v>
      </c>
    </row>
    <row r="154" ht="18.75" customHeight="1">
      <c r="A154" s="598">
        <f>IFERROR(VLOOKUP(H154,PartyStorage,2, FALSE),0)</f>
        <v>0</v>
      </c>
      <c r="B154" s="1227"/>
      <c r="C154" s="1219"/>
      <c r="D154" s="1228"/>
      <c r="E154" s="1218" t="str">
        <f t="shared" si="1"/>
        <v/>
      </c>
      <c r="F154" s="1219"/>
      <c r="G154" s="1229"/>
      <c r="H154" s="1221"/>
      <c r="I154" s="1222"/>
      <c r="M154" s="1223"/>
      <c r="N154" s="553">
        <f>IFERROR(VLOOKUP(G154,Ch9_Storage,2, FALSE),0)</f>
        <v>0</v>
      </c>
    </row>
    <row r="155" ht="18.75" customHeight="1">
      <c r="A155" s="598">
        <f>IFERROR(VLOOKUP(H155,PartyStorage,2, FALSE),0)</f>
        <v>0</v>
      </c>
      <c r="B155" s="1224"/>
      <c r="C155" s="1212"/>
      <c r="D155" s="1225"/>
      <c r="E155" s="1211" t="str">
        <f t="shared" si="1"/>
        <v/>
      </c>
      <c r="F155" s="1212"/>
      <c r="G155" s="1226"/>
      <c r="H155" s="1213"/>
      <c r="I155" s="1214"/>
      <c r="M155" s="378"/>
      <c r="N155" s="553">
        <f>IFERROR(VLOOKUP(G155,Ch9_Storage,2, FALSE),0)</f>
        <v>0</v>
      </c>
    </row>
    <row r="156" ht="18.75" customHeight="1">
      <c r="A156" s="598">
        <f>IFERROR(VLOOKUP(H156,PartyStorage,2, FALSE),0)</f>
        <v>0</v>
      </c>
      <c r="B156" s="1227"/>
      <c r="C156" s="1219"/>
      <c r="D156" s="1228"/>
      <c r="E156" s="1218" t="str">
        <f t="shared" si="1"/>
        <v/>
      </c>
      <c r="F156" s="1219"/>
      <c r="G156" s="1229"/>
      <c r="H156" s="1221"/>
      <c r="I156" s="1222"/>
      <c r="M156" s="1223"/>
      <c r="N156" s="553">
        <f>IFERROR(VLOOKUP(G156,Ch9_Storage,2, FALSE),0)</f>
        <v>0</v>
      </c>
    </row>
    <row r="157" ht="18.75" customHeight="1">
      <c r="A157" s="598">
        <f>IFERROR(VLOOKUP(H157,PartyStorage,2, FALSE),0)</f>
        <v>0</v>
      </c>
      <c r="B157" s="1224"/>
      <c r="C157" s="1212"/>
      <c r="D157" s="1225"/>
      <c r="E157" s="1211" t="str">
        <f t="shared" si="1"/>
        <v/>
      </c>
      <c r="F157" s="1212"/>
      <c r="G157" s="1226"/>
      <c r="H157" s="1213"/>
      <c r="I157" s="1214"/>
      <c r="M157" s="378"/>
      <c r="N157" s="553">
        <f>IFERROR(VLOOKUP(G157,Ch9_Storage,2, FALSE),0)</f>
        <v>0</v>
      </c>
    </row>
    <row r="158" ht="18.75" customHeight="1">
      <c r="A158" s="598">
        <f>IFERROR(VLOOKUP(H158,PartyStorage,2, FALSE),0)</f>
        <v>0</v>
      </c>
      <c r="B158" s="1227"/>
      <c r="C158" s="1219"/>
      <c r="D158" s="1228"/>
      <c r="E158" s="1218" t="str">
        <f t="shared" si="1"/>
        <v/>
      </c>
      <c r="F158" s="1219"/>
      <c r="G158" s="1229"/>
      <c r="H158" s="1221"/>
      <c r="I158" s="1222"/>
      <c r="M158" s="1223"/>
      <c r="N158" s="553">
        <f>IFERROR(VLOOKUP(G158,Ch9_Storage,2, FALSE),0)</f>
        <v>0</v>
      </c>
    </row>
    <row r="159" ht="18.75" customHeight="1">
      <c r="A159" s="598">
        <f>IFERROR(VLOOKUP(H159,PartyStorage,2, FALSE),0)</f>
        <v>0</v>
      </c>
      <c r="B159" s="1224"/>
      <c r="C159" s="1212"/>
      <c r="D159" s="1225"/>
      <c r="E159" s="1211" t="str">
        <f t="shared" si="1"/>
        <v/>
      </c>
      <c r="F159" s="1212"/>
      <c r="G159" s="1226"/>
      <c r="H159" s="1213"/>
      <c r="I159" s="1214"/>
      <c r="M159" s="378"/>
      <c r="N159" s="553">
        <f>IFERROR(VLOOKUP(G159,Ch9_Storage,2, FALSE),0)</f>
        <v>0</v>
      </c>
    </row>
    <row r="160" ht="18.75" customHeight="1">
      <c r="A160" s="598">
        <f>IFERROR(VLOOKUP(H160,PartyStorage,2, FALSE),0)</f>
        <v>0</v>
      </c>
      <c r="B160" s="1227"/>
      <c r="C160" s="1219"/>
      <c r="D160" s="1228"/>
      <c r="E160" s="1218" t="str">
        <f t="shared" si="1"/>
        <v/>
      </c>
      <c r="F160" s="1219"/>
      <c r="G160" s="1229"/>
      <c r="H160" s="1221"/>
      <c r="I160" s="1222"/>
      <c r="M160" s="1223"/>
      <c r="N160" s="553">
        <f>IFERROR(VLOOKUP(G160,Ch9_Storage,2, FALSE),0)</f>
        <v>0</v>
      </c>
    </row>
    <row r="161" ht="18.75" customHeight="1">
      <c r="A161" s="598">
        <f>IFERROR(VLOOKUP(H161,PartyStorage,2, FALSE),0)</f>
        <v>0</v>
      </c>
      <c r="B161" s="1224"/>
      <c r="C161" s="1212"/>
      <c r="D161" s="1225"/>
      <c r="E161" s="1211" t="str">
        <f t="shared" si="1"/>
        <v/>
      </c>
      <c r="F161" s="1212"/>
      <c r="G161" s="1226"/>
      <c r="H161" s="1213"/>
      <c r="I161" s="1214"/>
      <c r="M161" s="378"/>
      <c r="N161" s="553">
        <f>IFERROR(VLOOKUP(G161,Ch9_Storage,2, FALSE),0)</f>
        <v>0</v>
      </c>
    </row>
    <row r="162" ht="18.75" customHeight="1">
      <c r="A162" s="598">
        <f>IFERROR(VLOOKUP(H162,PartyStorage,2, FALSE),0)</f>
        <v>0</v>
      </c>
      <c r="B162" s="1227"/>
      <c r="C162" s="1219"/>
      <c r="D162" s="1228"/>
      <c r="E162" s="1218" t="str">
        <f t="shared" si="1"/>
        <v/>
      </c>
      <c r="F162" s="1219"/>
      <c r="G162" s="1229"/>
      <c r="H162" s="1221"/>
      <c r="I162" s="1222"/>
      <c r="M162" s="1223"/>
      <c r="N162" s="553">
        <f>IFERROR(VLOOKUP(G162,Ch9_Storage,2, FALSE),0)</f>
        <v>0</v>
      </c>
    </row>
    <row r="163" ht="18.75" customHeight="1">
      <c r="A163" s="598">
        <f>IFERROR(VLOOKUP(H163,PartyStorage,2, FALSE),0)</f>
        <v>0</v>
      </c>
      <c r="B163" s="1224"/>
      <c r="C163" s="1212"/>
      <c r="D163" s="1225"/>
      <c r="E163" s="1211" t="str">
        <f t="shared" si="1"/>
        <v/>
      </c>
      <c r="F163" s="1212"/>
      <c r="G163" s="1226"/>
      <c r="H163" s="1213"/>
      <c r="I163" s="1214"/>
      <c r="M163" s="378"/>
      <c r="N163" s="553">
        <f>IFERROR(VLOOKUP(G163,Ch9_Storage,2, FALSE),0)</f>
        <v>0</v>
      </c>
    </row>
    <row r="164" ht="18.75" customHeight="1">
      <c r="A164" s="598">
        <f>IFERROR(VLOOKUP(H164,PartyStorage,2, FALSE),0)</f>
        <v>0</v>
      </c>
      <c r="B164" s="1227"/>
      <c r="C164" s="1219"/>
      <c r="D164" s="1228"/>
      <c r="E164" s="1218" t="str">
        <f t="shared" si="1"/>
        <v/>
      </c>
      <c r="F164" s="1219"/>
      <c r="G164" s="1229"/>
      <c r="H164" s="1221"/>
      <c r="I164" s="1222"/>
      <c r="M164" s="1223"/>
      <c r="N164" s="553">
        <f>IFERROR(VLOOKUP(G164,Ch9_Storage,2, FALSE),0)</f>
        <v>0</v>
      </c>
    </row>
    <row r="165" ht="18.75" customHeight="1">
      <c r="A165" s="598">
        <f>IFERROR(VLOOKUP(H165,PartyStorage,2, FALSE),0)</f>
        <v>0</v>
      </c>
      <c r="B165" s="1224"/>
      <c r="C165" s="1212"/>
      <c r="D165" s="1225"/>
      <c r="E165" s="1211" t="str">
        <f t="shared" si="1"/>
        <v/>
      </c>
      <c r="F165" s="1212"/>
      <c r="G165" s="1226"/>
      <c r="H165" s="1213"/>
      <c r="I165" s="1214"/>
      <c r="M165" s="378"/>
      <c r="N165" s="553">
        <f>IFERROR(VLOOKUP(G165,Ch9_Storage,2, FALSE),0)</f>
        <v>0</v>
      </c>
    </row>
    <row r="166" ht="18.75" customHeight="1">
      <c r="A166" s="598">
        <f>IFERROR(VLOOKUP(H166,PartyStorage,2, FALSE),0)</f>
        <v>0</v>
      </c>
      <c r="B166" s="1227"/>
      <c r="C166" s="1219"/>
      <c r="D166" s="1228"/>
      <c r="E166" s="1218" t="str">
        <f t="shared" si="1"/>
        <v/>
      </c>
      <c r="F166" s="1219"/>
      <c r="G166" s="1229"/>
      <c r="H166" s="1221"/>
      <c r="I166" s="1222"/>
      <c r="M166" s="1223"/>
      <c r="N166" s="553">
        <f>IFERROR(VLOOKUP(G166,Ch9_Storage,2, FALSE),0)</f>
        <v>0</v>
      </c>
    </row>
    <row r="167" ht="18.75" customHeight="1">
      <c r="A167" s="598">
        <f>IFERROR(VLOOKUP(H167,PartyStorage,2, FALSE),0)</f>
        <v>0</v>
      </c>
      <c r="B167" s="1224"/>
      <c r="C167" s="1212"/>
      <c r="D167" s="1225"/>
      <c r="E167" s="1211" t="str">
        <f t="shared" si="1"/>
        <v/>
      </c>
      <c r="F167" s="1212"/>
      <c r="G167" s="1226"/>
      <c r="H167" s="1213"/>
      <c r="I167" s="1214"/>
      <c r="M167" s="378"/>
      <c r="N167" s="553">
        <f>IFERROR(VLOOKUP(G167,Ch9_Storage,2, FALSE),0)</f>
        <v>0</v>
      </c>
    </row>
    <row r="168" ht="18.75" customHeight="1">
      <c r="A168" s="598">
        <f>IFERROR(VLOOKUP(H168,PartyStorage,2, FALSE),0)</f>
        <v>0</v>
      </c>
      <c r="B168" s="1227"/>
      <c r="C168" s="1219"/>
      <c r="D168" s="1228"/>
      <c r="E168" s="1218" t="str">
        <f t="shared" si="1"/>
        <v/>
      </c>
      <c r="F168" s="1219"/>
      <c r="G168" s="1229"/>
      <c r="H168" s="1221"/>
      <c r="I168" s="1222"/>
      <c r="M168" s="1223"/>
      <c r="N168" s="553">
        <f>IFERROR(VLOOKUP(G168,Ch9_Storage,2, FALSE),0)</f>
        <v>0</v>
      </c>
    </row>
    <row r="169" ht="18.75" customHeight="1">
      <c r="A169" s="598">
        <f>IFERROR(VLOOKUP(H169,PartyStorage,2, FALSE),0)</f>
        <v>0</v>
      </c>
      <c r="B169" s="1224"/>
      <c r="C169" s="1212"/>
      <c r="D169" s="1225"/>
      <c r="E169" s="1211" t="str">
        <f t="shared" si="1"/>
        <v/>
      </c>
      <c r="F169" s="1212"/>
      <c r="G169" s="1226"/>
      <c r="H169" s="1213"/>
      <c r="I169" s="1214"/>
      <c r="M169" s="378"/>
      <c r="N169" s="553">
        <f>IFERROR(VLOOKUP(G169,Ch9_Storage,2, FALSE),0)</f>
        <v>0</v>
      </c>
    </row>
    <row r="170" ht="18.75" customHeight="1">
      <c r="A170" s="598">
        <f>IFERROR(VLOOKUP(H170,PartyStorage,2, FALSE),0)</f>
        <v>0</v>
      </c>
      <c r="B170" s="1227"/>
      <c r="C170" s="1219"/>
      <c r="D170" s="1228"/>
      <c r="E170" s="1218" t="str">
        <f t="shared" si="1"/>
        <v/>
      </c>
      <c r="F170" s="1219"/>
      <c r="G170" s="1229"/>
      <c r="H170" s="1221"/>
      <c r="I170" s="1222"/>
      <c r="M170" s="1223"/>
      <c r="N170" s="553">
        <f>IFERROR(VLOOKUP(G170,Ch9_Storage,2, FALSE),0)</f>
        <v>0</v>
      </c>
    </row>
    <row r="171" ht="18.75" customHeight="1">
      <c r="A171" s="598">
        <f>IFERROR(VLOOKUP(H171,PartyStorage,2, FALSE),0)</f>
        <v>0</v>
      </c>
      <c r="B171" s="1224"/>
      <c r="C171" s="1212"/>
      <c r="D171" s="1225"/>
      <c r="E171" s="1211" t="str">
        <f t="shared" si="1"/>
        <v/>
      </c>
      <c r="F171" s="1212"/>
      <c r="G171" s="1226"/>
      <c r="H171" s="1213"/>
      <c r="I171" s="1214"/>
      <c r="M171" s="378"/>
      <c r="N171" s="553">
        <f>IFERROR(VLOOKUP(G171,Ch9_Storage,2, FALSE),0)</f>
        <v>0</v>
      </c>
    </row>
    <row r="172" ht="18.75" customHeight="1">
      <c r="A172" s="598">
        <f>IFERROR(VLOOKUP(H172,PartyStorage,2, FALSE),0)</f>
        <v>0</v>
      </c>
      <c r="B172" s="1227"/>
      <c r="C172" s="1219"/>
      <c r="D172" s="1228"/>
      <c r="E172" s="1218" t="str">
        <f t="shared" si="1"/>
        <v/>
      </c>
      <c r="F172" s="1219"/>
      <c r="G172" s="1229"/>
      <c r="H172" s="1221"/>
      <c r="I172" s="1222"/>
      <c r="M172" s="1223"/>
      <c r="N172" s="553">
        <f>IFERROR(VLOOKUP(G172,Ch9_Storage,2, FALSE),0)</f>
        <v>0</v>
      </c>
    </row>
    <row r="173" ht="18.75" customHeight="1">
      <c r="A173" s="598">
        <f>IFERROR(VLOOKUP(H173,PartyStorage,2, FALSE),0)</f>
        <v>0</v>
      </c>
      <c r="B173" s="1224"/>
      <c r="C173" s="1212"/>
      <c r="D173" s="1225"/>
      <c r="E173" s="1211" t="str">
        <f t="shared" si="1"/>
        <v/>
      </c>
      <c r="F173" s="1212"/>
      <c r="G173" s="1226"/>
      <c r="H173" s="1213"/>
      <c r="I173" s="1214"/>
      <c r="M173" s="378"/>
      <c r="N173" s="553">
        <f>IFERROR(VLOOKUP(G173,Ch9_Storage,2, FALSE),0)</f>
        <v>0</v>
      </c>
    </row>
    <row r="174" ht="18.75" customHeight="1">
      <c r="A174" s="598">
        <f>IFERROR(VLOOKUP(H174,PartyStorage,2, FALSE),0)</f>
        <v>0</v>
      </c>
      <c r="B174" s="1227"/>
      <c r="C174" s="1219"/>
      <c r="D174" s="1228"/>
      <c r="E174" s="1218" t="str">
        <f t="shared" si="1"/>
        <v/>
      </c>
      <c r="F174" s="1219"/>
      <c r="G174" s="1229"/>
      <c r="H174" s="1221"/>
      <c r="I174" s="1222"/>
      <c r="M174" s="1223"/>
      <c r="N174" s="553">
        <f>IFERROR(VLOOKUP(G174,Ch9_Storage,2, FALSE),0)</f>
        <v>0</v>
      </c>
    </row>
    <row r="175" ht="18.75" customHeight="1">
      <c r="A175" s="598">
        <f>IFERROR(VLOOKUP(H175,PartyStorage,2, FALSE),0)</f>
        <v>0</v>
      </c>
      <c r="B175" s="1224"/>
      <c r="C175" s="1212"/>
      <c r="D175" s="1225"/>
      <c r="E175" s="1211" t="str">
        <f t="shared" si="1"/>
        <v/>
      </c>
      <c r="F175" s="1212"/>
      <c r="G175" s="1226"/>
      <c r="H175" s="1213"/>
      <c r="I175" s="1214"/>
      <c r="M175" s="378"/>
      <c r="N175" s="553">
        <f>IFERROR(VLOOKUP(G175,Ch9_Storage,2, FALSE),0)</f>
        <v>0</v>
      </c>
    </row>
    <row r="176" ht="18.75" customHeight="1">
      <c r="A176" s="598">
        <f>IFERROR(VLOOKUP(H176,PartyStorage,2, FALSE),0)</f>
        <v>0</v>
      </c>
      <c r="B176" s="1227"/>
      <c r="C176" s="1219"/>
      <c r="D176" s="1228"/>
      <c r="E176" s="1218" t="str">
        <f t="shared" si="1"/>
        <v/>
      </c>
      <c r="F176" s="1219"/>
      <c r="G176" s="1229"/>
      <c r="H176" s="1221"/>
      <c r="I176" s="1222"/>
      <c r="M176" s="1223"/>
      <c r="N176" s="553">
        <f>IFERROR(VLOOKUP(G176,Ch9_Storage,2, FALSE),0)</f>
        <v>0</v>
      </c>
    </row>
    <row r="177" ht="18.75" customHeight="1">
      <c r="A177" s="598">
        <f>IFERROR(VLOOKUP(H177,PartyStorage,2, FALSE),0)</f>
        <v>0</v>
      </c>
      <c r="B177" s="1224"/>
      <c r="C177" s="1212"/>
      <c r="D177" s="1225"/>
      <c r="E177" s="1211" t="str">
        <f t="shared" si="1"/>
        <v/>
      </c>
      <c r="F177" s="1212"/>
      <c r="G177" s="1226"/>
      <c r="H177" s="1213"/>
      <c r="I177" s="1214"/>
      <c r="M177" s="378"/>
      <c r="N177" s="553">
        <f>IFERROR(VLOOKUP(G177,Ch9_Storage,2, FALSE),0)</f>
        <v>0</v>
      </c>
    </row>
    <row r="178" ht="18.75" customHeight="1">
      <c r="A178" s="598">
        <f>IFERROR(VLOOKUP(H178,PartyStorage,2, FALSE),0)</f>
        <v>0</v>
      </c>
      <c r="B178" s="1227"/>
      <c r="C178" s="1219"/>
      <c r="D178" s="1228"/>
      <c r="E178" s="1218" t="str">
        <f t="shared" si="1"/>
        <v/>
      </c>
      <c r="F178" s="1219"/>
      <c r="G178" s="1229"/>
      <c r="H178" s="1221"/>
      <c r="I178" s="1222"/>
      <c r="M178" s="1223"/>
      <c r="N178" s="553">
        <f>IFERROR(VLOOKUP(G178,Ch9_Storage,2, FALSE),0)</f>
        <v>0</v>
      </c>
    </row>
    <row r="179" ht="18.75" customHeight="1">
      <c r="A179" s="598">
        <f>IFERROR(VLOOKUP(H179,PartyStorage,2, FALSE),0)</f>
        <v>0</v>
      </c>
      <c r="B179" s="1224"/>
      <c r="C179" s="1212"/>
      <c r="D179" s="1225"/>
      <c r="E179" s="1211" t="str">
        <f t="shared" si="1"/>
        <v/>
      </c>
      <c r="F179" s="1212"/>
      <c r="G179" s="1226"/>
      <c r="H179" s="1213"/>
      <c r="I179" s="1214"/>
      <c r="M179" s="378"/>
      <c r="N179" s="553">
        <f>IFERROR(VLOOKUP(G179,Ch9_Storage,2, FALSE),0)</f>
        <v>0</v>
      </c>
    </row>
    <row r="180" ht="18.75" customHeight="1">
      <c r="A180" s="598">
        <f>IFERROR(VLOOKUP(H180,PartyStorage,2, FALSE),0)</f>
        <v>0</v>
      </c>
      <c r="B180" s="1227"/>
      <c r="C180" s="1219"/>
      <c r="D180" s="1228"/>
      <c r="E180" s="1218" t="str">
        <f t="shared" si="1"/>
        <v/>
      </c>
      <c r="F180" s="1219"/>
      <c r="G180" s="1229"/>
      <c r="H180" s="1221"/>
      <c r="I180" s="1222"/>
      <c r="M180" s="1223"/>
      <c r="N180" s="553">
        <f>IFERROR(VLOOKUP(G180,Ch9_Storage,2, FALSE),0)</f>
        <v>0</v>
      </c>
    </row>
    <row r="181" ht="18.75" customHeight="1">
      <c r="A181" s="598">
        <f>IFERROR(VLOOKUP(H181,PartyStorage,2, FALSE),0)</f>
        <v>0</v>
      </c>
      <c r="B181" s="1224"/>
      <c r="C181" s="1212"/>
      <c r="D181" s="1225"/>
      <c r="E181" s="1211" t="str">
        <f t="shared" si="1"/>
        <v/>
      </c>
      <c r="F181" s="1212"/>
      <c r="G181" s="1226"/>
      <c r="H181" s="1213"/>
      <c r="I181" s="1214"/>
      <c r="M181" s="378"/>
      <c r="N181" s="553">
        <f>IFERROR(VLOOKUP(G181,Ch9_Storage,2, FALSE),0)</f>
        <v>0</v>
      </c>
    </row>
    <row r="182" ht="18.75" customHeight="1">
      <c r="A182" s="598">
        <f>IFERROR(VLOOKUP(H182,PartyStorage,2, FALSE),0)</f>
        <v>0</v>
      </c>
      <c r="B182" s="1227"/>
      <c r="C182" s="1219"/>
      <c r="D182" s="1228"/>
      <c r="E182" s="1218" t="str">
        <f t="shared" si="1"/>
        <v/>
      </c>
      <c r="F182" s="1219"/>
      <c r="G182" s="1229"/>
      <c r="H182" s="1221"/>
      <c r="I182" s="1222"/>
      <c r="M182" s="1223"/>
      <c r="N182" s="553">
        <f>IFERROR(VLOOKUP(G182,Ch9_Storage,2, FALSE),0)</f>
        <v>0</v>
      </c>
    </row>
    <row r="183" ht="18.75" customHeight="1">
      <c r="A183" s="598">
        <f>IFERROR(VLOOKUP(H183,PartyStorage,2, FALSE),0)</f>
        <v>0</v>
      </c>
      <c r="B183" s="1224"/>
      <c r="C183" s="1212"/>
      <c r="D183" s="1225"/>
      <c r="E183" s="1211" t="str">
        <f t="shared" si="1"/>
        <v/>
      </c>
      <c r="F183" s="1212"/>
      <c r="G183" s="1226"/>
      <c r="H183" s="1213"/>
      <c r="I183" s="1214"/>
      <c r="M183" s="378"/>
      <c r="N183" s="553">
        <f>IFERROR(VLOOKUP(G183,Ch9_Storage,2, FALSE),0)</f>
        <v>0</v>
      </c>
    </row>
    <row r="184" ht="18.75" customHeight="1">
      <c r="A184" s="598">
        <f>IFERROR(VLOOKUP(H184,PartyStorage,2, FALSE),0)</f>
        <v>0</v>
      </c>
      <c r="B184" s="1227"/>
      <c r="C184" s="1219"/>
      <c r="D184" s="1228"/>
      <c r="E184" s="1218" t="str">
        <f t="shared" si="1"/>
        <v/>
      </c>
      <c r="F184" s="1219"/>
      <c r="G184" s="1229"/>
      <c r="H184" s="1221"/>
      <c r="I184" s="1222"/>
      <c r="M184" s="1223"/>
      <c r="N184" s="553">
        <f>IFERROR(VLOOKUP(G184,Ch9_Storage,2, FALSE),0)</f>
        <v>0</v>
      </c>
    </row>
    <row r="185" ht="18.75" customHeight="1">
      <c r="A185" s="598">
        <f>IFERROR(VLOOKUP(H185,PartyStorage,2, FALSE),0)</f>
        <v>0</v>
      </c>
      <c r="B185" s="1224"/>
      <c r="C185" s="1212"/>
      <c r="D185" s="1225"/>
      <c r="E185" s="1211" t="str">
        <f t="shared" si="1"/>
        <v/>
      </c>
      <c r="F185" s="1212"/>
      <c r="G185" s="1226"/>
      <c r="H185" s="1213"/>
      <c r="I185" s="1214"/>
      <c r="M185" s="378"/>
      <c r="N185" s="553">
        <f>IFERROR(VLOOKUP(G185,Ch9_Storage,2, FALSE),0)</f>
        <v>0</v>
      </c>
    </row>
    <row r="186" ht="18.75" customHeight="1">
      <c r="A186" s="598">
        <f>IFERROR(VLOOKUP(H186,PartyStorage,2, FALSE),0)</f>
        <v>0</v>
      </c>
      <c r="B186" s="1227"/>
      <c r="C186" s="1219"/>
      <c r="D186" s="1228"/>
      <c r="E186" s="1218" t="str">
        <f t="shared" si="1"/>
        <v/>
      </c>
      <c r="F186" s="1219"/>
      <c r="G186" s="1229"/>
      <c r="H186" s="1221"/>
      <c r="I186" s="1222"/>
      <c r="M186" s="1223"/>
      <c r="N186" s="553">
        <f>IFERROR(VLOOKUP(G186,Ch9_Storage,2, FALSE),0)</f>
        <v>0</v>
      </c>
    </row>
    <row r="187" ht="18.75" customHeight="1">
      <c r="A187" s="598">
        <f>IFERROR(VLOOKUP(H187,PartyStorage,2, FALSE),0)</f>
        <v>0</v>
      </c>
      <c r="B187" s="1224"/>
      <c r="C187" s="1212"/>
      <c r="D187" s="1225"/>
      <c r="E187" s="1211" t="str">
        <f t="shared" si="1"/>
        <v/>
      </c>
      <c r="F187" s="1212"/>
      <c r="G187" s="1226"/>
      <c r="H187" s="1213"/>
      <c r="I187" s="1214"/>
      <c r="M187" s="378"/>
      <c r="N187" s="553">
        <f>IFERROR(VLOOKUP(G187,Ch9_Storage,2, FALSE),0)</f>
        <v>0</v>
      </c>
    </row>
    <row r="188" ht="18.75" customHeight="1">
      <c r="A188" s="598">
        <f>IFERROR(VLOOKUP(H188,PartyStorage,2, FALSE),0)</f>
        <v>0</v>
      </c>
      <c r="B188" s="1227"/>
      <c r="C188" s="1219"/>
      <c r="D188" s="1228"/>
      <c r="E188" s="1218" t="str">
        <f t="shared" si="1"/>
        <v/>
      </c>
      <c r="F188" s="1219"/>
      <c r="G188" s="1229"/>
      <c r="H188" s="1221"/>
      <c r="I188" s="1222"/>
      <c r="M188" s="1223"/>
      <c r="N188" s="553">
        <f>IFERROR(VLOOKUP(G188,Ch9_Storage,2, FALSE),0)</f>
        <v>0</v>
      </c>
    </row>
    <row r="189" ht="18.75" customHeight="1">
      <c r="A189" s="598">
        <f>IFERROR(VLOOKUP(H189,PartyStorage,2, FALSE),0)</f>
        <v>0</v>
      </c>
      <c r="B189" s="1224"/>
      <c r="C189" s="1212"/>
      <c r="D189" s="1225"/>
      <c r="E189" s="1211" t="str">
        <f t="shared" si="1"/>
        <v/>
      </c>
      <c r="F189" s="1212"/>
      <c r="G189" s="1226"/>
      <c r="H189" s="1213"/>
      <c r="I189" s="1214"/>
      <c r="M189" s="378"/>
      <c r="N189" s="553">
        <f>IFERROR(VLOOKUP(G189,Ch9_Storage,2, FALSE),0)</f>
        <v>0</v>
      </c>
    </row>
    <row r="190" ht="18.75" customHeight="1">
      <c r="A190" s="598">
        <f>IFERROR(VLOOKUP(H190,PartyStorage,2, FALSE),0)</f>
        <v>0</v>
      </c>
      <c r="B190" s="1227"/>
      <c r="C190" s="1219"/>
      <c r="D190" s="1228"/>
      <c r="E190" s="1218" t="str">
        <f t="shared" si="1"/>
        <v/>
      </c>
      <c r="F190" s="1219"/>
      <c r="G190" s="1229"/>
      <c r="H190" s="1221"/>
      <c r="I190" s="1222"/>
      <c r="M190" s="1223"/>
      <c r="N190" s="553">
        <f>IFERROR(VLOOKUP(G190,Ch9_Storage,2, FALSE),0)</f>
        <v>0</v>
      </c>
    </row>
    <row r="191" ht="18.75" customHeight="1">
      <c r="A191" s="598">
        <f>IFERROR(VLOOKUP(H191,PartyStorage,2, FALSE),0)</f>
        <v>0</v>
      </c>
      <c r="B191" s="1224"/>
      <c r="C191" s="1212"/>
      <c r="D191" s="1225"/>
      <c r="E191" s="1211" t="str">
        <f t="shared" si="1"/>
        <v/>
      </c>
      <c r="F191" s="1212"/>
      <c r="G191" s="1226"/>
      <c r="H191" s="1213"/>
      <c r="I191" s="1214"/>
      <c r="M191" s="378"/>
      <c r="N191" s="553">
        <f>IFERROR(VLOOKUP(G191,Ch9_Storage,2, FALSE),0)</f>
        <v>0</v>
      </c>
    </row>
    <row r="192" ht="18.75" customHeight="1">
      <c r="A192" s="598">
        <f>IFERROR(VLOOKUP(H192,PartyStorage,2, FALSE),0)</f>
        <v>0</v>
      </c>
      <c r="B192" s="1227"/>
      <c r="C192" s="1219"/>
      <c r="D192" s="1228"/>
      <c r="E192" s="1218" t="str">
        <f t="shared" si="1"/>
        <v/>
      </c>
      <c r="F192" s="1219"/>
      <c r="G192" s="1229"/>
      <c r="H192" s="1221"/>
      <c r="I192" s="1222"/>
      <c r="M192" s="1223"/>
      <c r="N192" s="553">
        <f>IFERROR(VLOOKUP(G192,Ch9_Storage,2, FALSE),0)</f>
        <v>0</v>
      </c>
    </row>
    <row r="193" ht="18.75" customHeight="1">
      <c r="A193" s="598">
        <f>IFERROR(VLOOKUP(H193,PartyStorage,2, FALSE),0)</f>
        <v>0</v>
      </c>
      <c r="B193" s="1224"/>
      <c r="C193" s="1212"/>
      <c r="D193" s="1225"/>
      <c r="E193" s="1211" t="str">
        <f t="shared" si="1"/>
        <v/>
      </c>
      <c r="F193" s="1212"/>
      <c r="G193" s="1226"/>
      <c r="H193" s="1213"/>
      <c r="I193" s="1214"/>
      <c r="M193" s="378"/>
      <c r="N193" s="553">
        <f>IFERROR(VLOOKUP(G193,Ch9_Storage,2, FALSE),0)</f>
        <v>0</v>
      </c>
    </row>
    <row r="194" ht="18.75" customHeight="1">
      <c r="A194" s="598">
        <f>IFERROR(VLOOKUP(H194,PartyStorage,2, FALSE),0)</f>
        <v>0</v>
      </c>
      <c r="B194" s="1227"/>
      <c r="C194" s="1219"/>
      <c r="D194" s="1228"/>
      <c r="E194" s="1218" t="str">
        <f t="shared" si="1"/>
        <v/>
      </c>
      <c r="F194" s="1219"/>
      <c r="G194" s="1229"/>
      <c r="H194" s="1221"/>
      <c r="I194" s="1222"/>
      <c r="M194" s="1223"/>
      <c r="N194" s="553">
        <f>IFERROR(VLOOKUP(G194,Ch9_Storage,2, FALSE),0)</f>
        <v>0</v>
      </c>
    </row>
    <row r="195" ht="18.75" customHeight="1">
      <c r="A195" s="598">
        <f>IFERROR(VLOOKUP(H195,PartyStorage,2, FALSE),0)</f>
        <v>0</v>
      </c>
      <c r="B195" s="1224"/>
      <c r="C195" s="1212"/>
      <c r="D195" s="1225"/>
      <c r="E195" s="1211" t="str">
        <f t="shared" si="1"/>
        <v/>
      </c>
      <c r="F195" s="1212"/>
      <c r="G195" s="1226"/>
      <c r="H195" s="1213"/>
      <c r="I195" s="1214"/>
      <c r="M195" s="378"/>
      <c r="N195" s="553">
        <f>IFERROR(VLOOKUP(G195,Ch9_Storage,2, FALSE),0)</f>
        <v>0</v>
      </c>
    </row>
    <row r="196" ht="18.75" customHeight="1">
      <c r="A196" s="598">
        <f>IFERROR(VLOOKUP(H196,PartyStorage,2, FALSE),0)</f>
        <v>0</v>
      </c>
      <c r="B196" s="1227"/>
      <c r="C196" s="1219"/>
      <c r="D196" s="1228"/>
      <c r="E196" s="1218" t="str">
        <f t="shared" si="1"/>
        <v/>
      </c>
      <c r="F196" s="1219"/>
      <c r="G196" s="1229"/>
      <c r="H196" s="1221"/>
      <c r="I196" s="1222"/>
      <c r="M196" s="1223"/>
      <c r="N196" s="553">
        <f>IFERROR(VLOOKUP(G196,Ch9_Storage,2, FALSE),0)</f>
        <v>0</v>
      </c>
    </row>
    <row r="197" ht="18.75" customHeight="1">
      <c r="A197" s="598">
        <f>IFERROR(VLOOKUP(H197,PartyStorage,2, FALSE),0)</f>
        <v>0</v>
      </c>
      <c r="B197" s="1224"/>
      <c r="C197" s="1212"/>
      <c r="D197" s="1225"/>
      <c r="E197" s="1211" t="str">
        <f t="shared" si="1"/>
        <v/>
      </c>
      <c r="F197" s="1212"/>
      <c r="G197" s="1226"/>
      <c r="H197" s="1213"/>
      <c r="I197" s="1214"/>
      <c r="M197" s="378"/>
      <c r="N197" s="553">
        <f>IFERROR(VLOOKUP(G197,Ch9_Storage,2, FALSE),0)</f>
        <v>0</v>
      </c>
    </row>
    <row r="198" ht="18.75" customHeight="1">
      <c r="A198" s="598">
        <f>IFERROR(VLOOKUP(H198,PartyStorage,2, FALSE),0)</f>
        <v>0</v>
      </c>
      <c r="B198" s="1227"/>
      <c r="C198" s="1219"/>
      <c r="D198" s="1228"/>
      <c r="E198" s="1218" t="str">
        <f t="shared" si="1"/>
        <v/>
      </c>
      <c r="F198" s="1219"/>
      <c r="G198" s="1229"/>
      <c r="H198" s="1221"/>
      <c r="I198" s="1222"/>
      <c r="M198" s="1223"/>
      <c r="N198" s="553">
        <f>IFERROR(VLOOKUP(G198,Ch9_Storage,2, FALSE),0)</f>
        <v>0</v>
      </c>
    </row>
    <row r="199" ht="18.75" customHeight="1">
      <c r="A199" s="598">
        <f>IFERROR(VLOOKUP(H199,PartyStorage,2, FALSE),0)</f>
        <v>0</v>
      </c>
      <c r="B199" s="1224"/>
      <c r="C199" s="1212"/>
      <c r="D199" s="1225"/>
      <c r="E199" s="1211" t="str">
        <f t="shared" si="1"/>
        <v/>
      </c>
      <c r="F199" s="1212"/>
      <c r="G199" s="1226"/>
      <c r="H199" s="1213"/>
      <c r="I199" s="1214"/>
      <c r="M199" s="378"/>
      <c r="N199" s="553">
        <f>IFERROR(VLOOKUP(G199,Ch9_Storage,2, FALSE),0)</f>
        <v>0</v>
      </c>
    </row>
    <row r="200" ht="18.75" customHeight="1">
      <c r="A200" s="598">
        <f>IFERROR(VLOOKUP(H200,PartyStorage,2, FALSE),0)</f>
        <v>0</v>
      </c>
      <c r="B200" s="1227"/>
      <c r="C200" s="1219"/>
      <c r="D200" s="1228"/>
      <c r="E200" s="1218" t="str">
        <f t="shared" si="1"/>
        <v/>
      </c>
      <c r="F200" s="1219"/>
      <c r="G200" s="1229"/>
      <c r="H200" s="1221"/>
      <c r="I200" s="1222"/>
      <c r="M200" s="1223"/>
      <c r="N200" s="553">
        <f>IFERROR(VLOOKUP(G200,Ch9_Storage,2, FALSE),0)</f>
        <v>0</v>
      </c>
    </row>
    <row r="201" ht="18.75" customHeight="1">
      <c r="A201" s="598">
        <f>IFERROR(VLOOKUP(H201,PartyStorage,2, FALSE),0)</f>
        <v>0</v>
      </c>
      <c r="B201" s="1224"/>
      <c r="C201" s="1212"/>
      <c r="D201" s="1225"/>
      <c r="E201" s="1211" t="str">
        <f t="shared" si="1"/>
        <v/>
      </c>
      <c r="F201" s="1212"/>
      <c r="G201" s="1226"/>
      <c r="H201" s="1213"/>
      <c r="I201" s="1214"/>
      <c r="M201" s="378"/>
      <c r="N201" s="553">
        <f>IFERROR(VLOOKUP(G201,Ch9_Storage,2, FALSE),0)</f>
        <v>0</v>
      </c>
    </row>
    <row r="202" ht="18.75" customHeight="1">
      <c r="A202" s="598">
        <f>IFERROR(VLOOKUP(H202,PartyStorage,2, FALSE),0)</f>
        <v>0</v>
      </c>
      <c r="B202" s="1227"/>
      <c r="C202" s="1219"/>
      <c r="D202" s="1228"/>
      <c r="E202" s="1218" t="str">
        <f t="shared" si="1"/>
        <v/>
      </c>
      <c r="F202" s="1219"/>
      <c r="G202" s="1229"/>
      <c r="H202" s="1221"/>
      <c r="I202" s="1222"/>
      <c r="M202" s="1223"/>
      <c r="N202" s="553">
        <f>IFERROR(VLOOKUP(G202,Ch9_Storage,2, FALSE),0)</f>
        <v>0</v>
      </c>
    </row>
    <row r="203" ht="18.75" customHeight="1">
      <c r="A203" s="598">
        <f>IFERROR(VLOOKUP(H203,PartyStorage,2, FALSE),0)</f>
        <v>0</v>
      </c>
      <c r="B203" s="1224"/>
      <c r="C203" s="1212"/>
      <c r="D203" s="1225"/>
      <c r="E203" s="1211" t="str">
        <f t="shared" si="1"/>
        <v/>
      </c>
      <c r="F203" s="1212"/>
      <c r="G203" s="1226"/>
      <c r="H203" s="1213"/>
      <c r="I203" s="1214"/>
      <c r="M203" s="378"/>
      <c r="N203" s="553">
        <f>IFERROR(VLOOKUP(G203,Ch9_Storage,2, FALSE),0)</f>
        <v>0</v>
      </c>
    </row>
    <row r="204" ht="18.75" customHeight="1">
      <c r="A204" s="598">
        <f>IFERROR(VLOOKUP(H204,PartyStorage,2, FALSE),0)</f>
        <v>0</v>
      </c>
      <c r="B204" s="1227"/>
      <c r="C204" s="1219"/>
      <c r="D204" s="1228"/>
      <c r="E204" s="1218" t="str">
        <f t="shared" si="1"/>
        <v/>
      </c>
      <c r="F204" s="1219"/>
      <c r="G204" s="1229"/>
      <c r="H204" s="1221"/>
      <c r="I204" s="1222"/>
      <c r="M204" s="1223"/>
      <c r="N204" s="553">
        <f>IFERROR(VLOOKUP(G204,Ch9_Storage,2, FALSE),0)</f>
        <v>0</v>
      </c>
    </row>
    <row r="205" ht="18.75" customHeight="1">
      <c r="A205" s="598">
        <f>IFERROR(VLOOKUP(H205,PartyStorage,2, FALSE),0)</f>
        <v>0</v>
      </c>
      <c r="B205" s="1224"/>
      <c r="C205" s="1212"/>
      <c r="D205" s="1225"/>
      <c r="E205" s="1211" t="str">
        <f t="shared" si="1"/>
        <v/>
      </c>
      <c r="F205" s="1212"/>
      <c r="G205" s="1226"/>
      <c r="H205" s="1213"/>
      <c r="I205" s="1214"/>
      <c r="M205" s="378"/>
      <c r="N205" s="553">
        <f>IFERROR(VLOOKUP(G205,Ch9_Storage,2, FALSE),0)</f>
        <v>0</v>
      </c>
    </row>
    <row r="206" ht="18.75" customHeight="1">
      <c r="A206" s="598">
        <f>IFERROR(VLOOKUP(H206,PartyStorage,2, FALSE),0)</f>
        <v>0</v>
      </c>
      <c r="B206" s="1227"/>
      <c r="C206" s="1219"/>
      <c r="D206" s="1228"/>
      <c r="E206" s="1218" t="str">
        <f t="shared" si="1"/>
        <v/>
      </c>
      <c r="F206" s="1219"/>
      <c r="G206" s="1229"/>
      <c r="H206" s="1221"/>
      <c r="I206" s="1222"/>
      <c r="M206" s="1223"/>
      <c r="N206" s="553">
        <f>IFERROR(VLOOKUP(G206,Ch9_Storage,2, FALSE),0)</f>
        <v>0</v>
      </c>
    </row>
    <row r="207" ht="18.75" customHeight="1">
      <c r="A207" s="598">
        <f>IFERROR(VLOOKUP(H207,PartyStorage,2, FALSE),0)</f>
        <v>0</v>
      </c>
      <c r="B207" s="1224"/>
      <c r="C207" s="1212"/>
      <c r="D207" s="1225"/>
      <c r="E207" s="1211" t="str">
        <f t="shared" si="1"/>
        <v/>
      </c>
      <c r="F207" s="1212"/>
      <c r="G207" s="1226"/>
      <c r="H207" s="1213"/>
      <c r="I207" s="1214"/>
      <c r="M207" s="378"/>
      <c r="N207" s="553">
        <f>IFERROR(VLOOKUP(G207,Ch9_Storage,2, FALSE),0)</f>
        <v>0</v>
      </c>
    </row>
    <row r="208" ht="18.75" customHeight="1">
      <c r="A208" s="598">
        <f>IFERROR(VLOOKUP(H208,PartyStorage,2, FALSE),0)</f>
        <v>0</v>
      </c>
      <c r="B208" s="1230"/>
      <c r="C208" s="1231"/>
      <c r="D208" s="1232"/>
      <c r="E208" s="1233" t="str">
        <f t="shared" si="1"/>
        <v/>
      </c>
      <c r="F208" s="1231"/>
      <c r="G208" s="1234"/>
      <c r="H208" s="1235"/>
      <c r="I208" s="1236"/>
      <c r="J208" s="1237"/>
      <c r="K208" s="1237"/>
      <c r="L208" s="1237"/>
      <c r="M208" s="1238"/>
      <c r="N208" s="553">
        <f>IFERROR(VLOOKUP(G208,Ch9_Storage,2, FALSE),0)</f>
        <v>0</v>
      </c>
    </row>
    <row r="209" ht="7.5" customHeight="1">
      <c r="A209" s="380"/>
      <c r="B209" s="261"/>
      <c r="C209" s="261"/>
      <c r="D209" s="261"/>
      <c r="E209" s="261"/>
      <c r="F209" s="261"/>
      <c r="G209" s="261"/>
      <c r="H209" s="261"/>
      <c r="I209" s="261"/>
      <c r="J209" s="261"/>
      <c r="K209" s="261"/>
      <c r="L209" s="261"/>
      <c r="M209" s="261"/>
      <c r="N209" s="553"/>
    </row>
  </sheetData>
  <mergeCells count="197">
    <mergeCell ref="B4:C4"/>
    <mergeCell ref="B5:C5"/>
    <mergeCell ref="B3:C3"/>
    <mergeCell ref="B6:C6"/>
    <mergeCell ref="B2:C2"/>
    <mergeCell ref="B7:C7"/>
    <mergeCell ref="E2:F7"/>
    <mergeCell ref="I2:J7"/>
    <mergeCell ref="K2:M2"/>
    <mergeCell ref="K3:L3"/>
    <mergeCell ref="K4:L4"/>
    <mergeCell ref="K5:L5"/>
    <mergeCell ref="K6:L6"/>
    <mergeCell ref="K7:L7"/>
    <mergeCell ref="I26:M26"/>
    <mergeCell ref="I27:M27"/>
    <mergeCell ref="I28:M28"/>
    <mergeCell ref="I29:M29"/>
    <mergeCell ref="I30:M30"/>
    <mergeCell ref="I31:M31"/>
    <mergeCell ref="I32:M32"/>
    <mergeCell ref="I33:M33"/>
    <mergeCell ref="I34:M34"/>
    <mergeCell ref="I35:M35"/>
    <mergeCell ref="I36:M36"/>
    <mergeCell ref="I37:M37"/>
    <mergeCell ref="I38:M38"/>
    <mergeCell ref="I39:M39"/>
    <mergeCell ref="I40:M40"/>
    <mergeCell ref="I41:M41"/>
    <mergeCell ref="I42:M42"/>
    <mergeCell ref="I43:M43"/>
    <mergeCell ref="I44:M44"/>
    <mergeCell ref="I45:M45"/>
    <mergeCell ref="I46:M46"/>
    <mergeCell ref="I47:M47"/>
    <mergeCell ref="I48:M48"/>
    <mergeCell ref="I49:M49"/>
    <mergeCell ref="I50:M50"/>
    <mergeCell ref="I51:M51"/>
    <mergeCell ref="I52:M52"/>
    <mergeCell ref="I53:M53"/>
    <mergeCell ref="I54:M54"/>
    <mergeCell ref="I55:M55"/>
    <mergeCell ref="I56:M56"/>
    <mergeCell ref="I57:M57"/>
    <mergeCell ref="I58:M58"/>
    <mergeCell ref="I59:M59"/>
    <mergeCell ref="I60:M60"/>
    <mergeCell ref="I61:M61"/>
    <mergeCell ref="I62:M62"/>
    <mergeCell ref="I63:M63"/>
    <mergeCell ref="I64:M64"/>
    <mergeCell ref="I65:M65"/>
    <mergeCell ref="I66:M66"/>
    <mergeCell ref="I67:M67"/>
    <mergeCell ref="I68:M68"/>
    <mergeCell ref="I69:M69"/>
    <mergeCell ref="I70:M70"/>
    <mergeCell ref="I71:M71"/>
    <mergeCell ref="I72:M72"/>
    <mergeCell ref="I73:M73"/>
    <mergeCell ref="I74:M74"/>
    <mergeCell ref="I75:M75"/>
    <mergeCell ref="I76:M76"/>
    <mergeCell ref="I77:M77"/>
    <mergeCell ref="I78:M78"/>
    <mergeCell ref="I79:M79"/>
    <mergeCell ref="I80:M80"/>
    <mergeCell ref="I81:M81"/>
    <mergeCell ref="I82:M82"/>
    <mergeCell ref="I83:M83"/>
    <mergeCell ref="I84:M84"/>
    <mergeCell ref="I85:M85"/>
    <mergeCell ref="I86:M86"/>
    <mergeCell ref="I87:M87"/>
    <mergeCell ref="I88:M88"/>
    <mergeCell ref="I89:M89"/>
    <mergeCell ref="I90:M90"/>
    <mergeCell ref="I91:M91"/>
    <mergeCell ref="I92:M92"/>
    <mergeCell ref="I93:M93"/>
    <mergeCell ref="I94:M94"/>
    <mergeCell ref="I95:M95"/>
    <mergeCell ref="I96:M96"/>
    <mergeCell ref="I97:M97"/>
    <mergeCell ref="I98:M98"/>
    <mergeCell ref="I99:M99"/>
    <mergeCell ref="I100:M100"/>
    <mergeCell ref="I101:M101"/>
    <mergeCell ref="I102:M102"/>
    <mergeCell ref="I103:M103"/>
    <mergeCell ref="I104:M104"/>
    <mergeCell ref="I105:M105"/>
    <mergeCell ref="I106:M106"/>
    <mergeCell ref="I107:M107"/>
    <mergeCell ref="I108:M108"/>
    <mergeCell ref="I109:M109"/>
    <mergeCell ref="I110:M110"/>
    <mergeCell ref="I111:M111"/>
    <mergeCell ref="I112:M112"/>
    <mergeCell ref="I113:M113"/>
    <mergeCell ref="I114:M114"/>
    <mergeCell ref="I115:M115"/>
    <mergeCell ref="I116:M116"/>
    <mergeCell ref="I117:M117"/>
    <mergeCell ref="I118:M118"/>
    <mergeCell ref="I119:M119"/>
    <mergeCell ref="I120:M120"/>
    <mergeCell ref="I121:M121"/>
    <mergeCell ref="I122:M122"/>
    <mergeCell ref="I123:M123"/>
    <mergeCell ref="I124:M124"/>
    <mergeCell ref="I125:M125"/>
    <mergeCell ref="I126:M126"/>
    <mergeCell ref="I127:M127"/>
    <mergeCell ref="I128:M128"/>
    <mergeCell ref="I129:M129"/>
    <mergeCell ref="I130:M130"/>
    <mergeCell ref="I131:M131"/>
    <mergeCell ref="I132:M132"/>
    <mergeCell ref="I133:M133"/>
    <mergeCell ref="I134:M134"/>
    <mergeCell ref="I135:M135"/>
    <mergeCell ref="I136:M136"/>
    <mergeCell ref="I137:M137"/>
    <mergeCell ref="I138:M138"/>
    <mergeCell ref="I139:M139"/>
    <mergeCell ref="I140:M140"/>
    <mergeCell ref="I141:M141"/>
    <mergeCell ref="I142:M142"/>
    <mergeCell ref="I143:M143"/>
    <mergeCell ref="I193:M193"/>
    <mergeCell ref="I194:M194"/>
    <mergeCell ref="I195:M195"/>
    <mergeCell ref="I196:M196"/>
    <mergeCell ref="I197:M197"/>
    <mergeCell ref="I198:M198"/>
    <mergeCell ref="I199:M199"/>
    <mergeCell ref="I207:M207"/>
    <mergeCell ref="I208:M208"/>
    <mergeCell ref="I200:M200"/>
    <mergeCell ref="I201:M201"/>
    <mergeCell ref="I202:M202"/>
    <mergeCell ref="I203:M203"/>
    <mergeCell ref="I204:M204"/>
    <mergeCell ref="I205:M205"/>
    <mergeCell ref="I206:M206"/>
    <mergeCell ref="I144:M144"/>
    <mergeCell ref="I145:M145"/>
    <mergeCell ref="I146:M146"/>
    <mergeCell ref="I147:M147"/>
    <mergeCell ref="I148:M148"/>
    <mergeCell ref="I149:M149"/>
    <mergeCell ref="I150:M150"/>
    <mergeCell ref="I151:M151"/>
    <mergeCell ref="I152:M152"/>
    <mergeCell ref="I153:M153"/>
    <mergeCell ref="I154:M154"/>
    <mergeCell ref="I155:M155"/>
    <mergeCell ref="I156:M156"/>
    <mergeCell ref="I157:M157"/>
    <mergeCell ref="I158:M158"/>
    <mergeCell ref="I159:M159"/>
    <mergeCell ref="I160:M160"/>
    <mergeCell ref="I161:M161"/>
    <mergeCell ref="I162:M162"/>
    <mergeCell ref="I163:M163"/>
    <mergeCell ref="I164:M164"/>
    <mergeCell ref="I165:M165"/>
    <mergeCell ref="I166:M166"/>
    <mergeCell ref="I167:M167"/>
    <mergeCell ref="I168:M168"/>
    <mergeCell ref="I169:M169"/>
    <mergeCell ref="I170:M170"/>
    <mergeCell ref="I171:M171"/>
    <mergeCell ref="I172:M172"/>
    <mergeCell ref="I173:M173"/>
    <mergeCell ref="I174:M174"/>
    <mergeCell ref="I175:M175"/>
    <mergeCell ref="I176:M176"/>
    <mergeCell ref="I177:M177"/>
    <mergeCell ref="I178:M178"/>
    <mergeCell ref="I179:M179"/>
    <mergeCell ref="I180:M180"/>
    <mergeCell ref="I181:M181"/>
    <mergeCell ref="I182:M182"/>
    <mergeCell ref="I183:M183"/>
    <mergeCell ref="I184:M184"/>
    <mergeCell ref="I185:M185"/>
    <mergeCell ref="I186:M186"/>
    <mergeCell ref="I187:M187"/>
    <mergeCell ref="I188:M188"/>
    <mergeCell ref="I189:M189"/>
    <mergeCell ref="I190:M190"/>
    <mergeCell ref="I191:M191"/>
    <mergeCell ref="I192:M192"/>
  </mergeCells>
  <conditionalFormatting sqref="B3:C5 K3:L5">
    <cfRule type="expression" dxfId="24" priority="1">
      <formula>IF( AND( LT( D$7, D4 ), GTE( D$7, D3) ), true, false )</formula>
    </cfRule>
  </conditionalFormatting>
  <conditionalFormatting sqref="B6:C6 K6:L6">
    <cfRule type="expression" dxfId="24" priority="2">
      <formula>IF( GT( D$7, D$6 ), true, false )</formula>
    </cfRule>
  </conditionalFormatting>
  <conditionalFormatting sqref="G27:G208">
    <cfRule type="expression" dxfId="0" priority="3">
      <formula>AND(AND(NOT(ISBLANK(C27)), ISBLANK(G27)), ISBLANK(H27))</formula>
    </cfRule>
  </conditionalFormatting>
  <conditionalFormatting sqref="K2:M2">
    <cfRule type="expression" dxfId="17" priority="4">
      <formula>IF($N$2="",true,false)</formula>
    </cfRule>
  </conditionalFormatting>
  <conditionalFormatting sqref="K3:M7">
    <cfRule type="expression" dxfId="18" priority="5">
      <formula>IF($N$2="",true,false)</formula>
    </cfRule>
  </conditionalFormatting>
  <dataValidations>
    <dataValidation type="list" allowBlank="1" showInputMessage="1" showErrorMessage="1" prompt="Every item must have a PC or party storage location" sqref="G27:G208">
      <formula1>'Character Info'!$T$32:$T$41</formula1>
    </dataValidation>
    <dataValidation type="list" allowBlank="1" showErrorMessage="1" sqref="H27:H208">
      <formula1>PartyStorageSingle</formula1>
    </dataValidation>
  </dataValidations>
  <hyperlinks>
    <hyperlink r:id="rId2" ref="E1"/>
    <hyperlink r:id="rId3" ref="I1"/>
  </hyperlinks>
  <drawing r:id="rId4"/>
  <legacyDrawing r:id="rId5"/>
  <tableParts count="5">
    <tablePart r:id="rId11"/>
    <tablePart r:id="rId12"/>
    <tablePart r:id="rId13"/>
    <tablePart r:id="rId14"/>
    <tablePart r:id="rId1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57"/>
    <col customWidth="1" min="8" max="8" width="1.57"/>
  </cols>
  <sheetData>
    <row r="1" ht="7.5" customHeight="1">
      <c r="A1" s="426" t="s">
        <v>75</v>
      </c>
      <c r="B1" s="1239"/>
    </row>
    <row r="2">
      <c r="B2" s="1240" t="s">
        <v>75</v>
      </c>
    </row>
    <row r="4" ht="7.5" customHeight="1">
      <c r="B4" s="1241"/>
      <c r="C4" s="1241"/>
      <c r="D4" s="1241"/>
      <c r="E4" s="1241"/>
      <c r="F4" s="1241"/>
      <c r="G4" s="1241"/>
    </row>
    <row r="5">
      <c r="A5" s="1239"/>
      <c r="B5" s="1242" t="s">
        <v>76</v>
      </c>
      <c r="C5" s="1243" t="s">
        <v>77</v>
      </c>
      <c r="D5" s="1244"/>
      <c r="E5" s="1244"/>
      <c r="F5" s="1244"/>
      <c r="G5" s="1245"/>
    </row>
    <row r="6">
      <c r="B6" s="1246">
        <v>42839.0</v>
      </c>
      <c r="C6" s="1247" t="s">
        <v>78</v>
      </c>
      <c r="G6" s="378"/>
    </row>
    <row r="7">
      <c r="B7" s="1248"/>
      <c r="C7" s="1249" t="s">
        <v>79</v>
      </c>
      <c r="G7" s="1250"/>
    </row>
    <row r="8">
      <c r="B8" s="1251"/>
      <c r="C8" s="1247" t="s">
        <v>80</v>
      </c>
      <c r="G8" s="378"/>
    </row>
    <row r="9">
      <c r="B9" s="1248"/>
      <c r="C9" s="1249" t="s">
        <v>81</v>
      </c>
      <c r="G9" s="1250"/>
    </row>
    <row r="10">
      <c r="B10" s="1251"/>
      <c r="C10" s="1247" t="s">
        <v>82</v>
      </c>
      <c r="G10" s="378"/>
    </row>
    <row r="11">
      <c r="B11" s="1248"/>
      <c r="C11" s="1249" t="s">
        <v>83</v>
      </c>
      <c r="G11" s="1250"/>
    </row>
    <row r="12">
      <c r="B12" s="1251"/>
      <c r="C12" s="1247" t="s">
        <v>84</v>
      </c>
      <c r="G12" s="378"/>
    </row>
    <row r="13">
      <c r="B13" s="1248"/>
      <c r="C13" s="1249" t="s">
        <v>85</v>
      </c>
      <c r="G13" s="1250"/>
    </row>
    <row r="14">
      <c r="B14" s="1251"/>
      <c r="C14" s="1247" t="s">
        <v>86</v>
      </c>
      <c r="G14" s="378"/>
    </row>
    <row r="15">
      <c r="B15" s="1252"/>
      <c r="C15" s="1249" t="s">
        <v>87</v>
      </c>
      <c r="G15" s="1250"/>
    </row>
    <row r="16">
      <c r="B16" s="1253"/>
      <c r="C16" s="1247" t="s">
        <v>88</v>
      </c>
      <c r="G16" s="378"/>
    </row>
    <row r="17">
      <c r="B17" s="1252"/>
      <c r="C17" s="1249" t="s">
        <v>89</v>
      </c>
      <c r="G17" s="1250"/>
    </row>
    <row r="18">
      <c r="B18" s="1251"/>
      <c r="C18" s="1247" t="s">
        <v>90</v>
      </c>
      <c r="G18" s="378"/>
    </row>
    <row r="19">
      <c r="B19" s="1248"/>
      <c r="C19" s="1249" t="s">
        <v>91</v>
      </c>
      <c r="G19" s="1250"/>
    </row>
    <row r="20">
      <c r="B20" s="1251"/>
      <c r="C20" s="1247" t="s">
        <v>92</v>
      </c>
      <c r="G20" s="378"/>
    </row>
    <row r="21">
      <c r="B21" s="1248"/>
      <c r="C21" s="1249" t="s">
        <v>93</v>
      </c>
      <c r="G21" s="1250"/>
    </row>
    <row r="22">
      <c r="B22" s="1246">
        <v>42840.0</v>
      </c>
      <c r="C22" s="1076" t="s">
        <v>94</v>
      </c>
      <c r="G22" s="378"/>
    </row>
    <row r="23">
      <c r="B23" s="1248"/>
      <c r="C23" s="1254" t="s">
        <v>95</v>
      </c>
      <c r="G23" s="1250"/>
    </row>
    <row r="24">
      <c r="B24" s="1251"/>
      <c r="C24" s="1247" t="s">
        <v>96</v>
      </c>
      <c r="G24" s="378"/>
    </row>
    <row r="25">
      <c r="B25" s="1248"/>
      <c r="C25" s="1255" t="s">
        <v>97</v>
      </c>
      <c r="G25" s="1250"/>
    </row>
    <row r="26">
      <c r="B26" s="1251"/>
      <c r="C26" s="1247" t="s">
        <v>98</v>
      </c>
      <c r="G26" s="378"/>
    </row>
    <row r="27">
      <c r="B27" s="1248"/>
      <c r="C27" s="1249" t="s">
        <v>99</v>
      </c>
      <c r="G27" s="1250"/>
    </row>
    <row r="28">
      <c r="B28" s="1251"/>
      <c r="C28" s="1247" t="s">
        <v>100</v>
      </c>
      <c r="G28" s="378"/>
    </row>
    <row r="29">
      <c r="B29" s="1248"/>
      <c r="C29" s="1249" t="s">
        <v>101</v>
      </c>
      <c r="G29" s="1250"/>
    </row>
    <row r="30">
      <c r="B30" s="1251"/>
      <c r="C30" s="1247"/>
      <c r="G30" s="378"/>
    </row>
    <row r="31">
      <c r="B31" s="1248"/>
      <c r="C31" s="1256"/>
      <c r="G31" s="1250"/>
    </row>
    <row r="32">
      <c r="B32" s="1251"/>
      <c r="C32" s="1257"/>
      <c r="G32" s="378"/>
    </row>
    <row r="33">
      <c r="B33" s="1248"/>
      <c r="C33" s="1256"/>
      <c r="G33" s="1250"/>
    </row>
    <row r="34">
      <c r="B34" s="1251"/>
      <c r="C34" s="1257"/>
      <c r="G34" s="378"/>
    </row>
    <row r="35">
      <c r="B35" s="1248"/>
      <c r="C35" s="1256"/>
      <c r="G35" s="1250"/>
    </row>
    <row r="36">
      <c r="B36" s="1251"/>
      <c r="C36" s="1257"/>
      <c r="G36" s="378"/>
    </row>
    <row r="37">
      <c r="B37" s="1248"/>
      <c r="C37" s="1256"/>
      <c r="G37" s="1250"/>
    </row>
    <row r="38">
      <c r="B38" s="1251"/>
      <c r="C38" s="1257"/>
      <c r="G38" s="378"/>
    </row>
    <row r="39">
      <c r="B39" s="1248"/>
      <c r="C39" s="1256"/>
      <c r="G39" s="1250"/>
    </row>
    <row r="40">
      <c r="B40" s="1251"/>
      <c r="C40" s="1257"/>
      <c r="G40" s="378"/>
    </row>
    <row r="41">
      <c r="B41" s="1248"/>
      <c r="C41" s="1256"/>
      <c r="G41" s="1250"/>
    </row>
    <row r="42">
      <c r="B42" s="1251"/>
      <c r="C42" s="1257"/>
      <c r="G42" s="378"/>
    </row>
    <row r="43">
      <c r="B43" s="1248"/>
      <c r="C43" s="1256"/>
      <c r="G43" s="1250"/>
    </row>
    <row r="44">
      <c r="B44" s="1251"/>
      <c r="C44" s="1257"/>
      <c r="G44" s="378"/>
    </row>
    <row r="45">
      <c r="B45" s="1248"/>
      <c r="C45" s="1256"/>
      <c r="G45" s="1250"/>
    </row>
    <row r="46">
      <c r="B46" s="1251"/>
      <c r="C46" s="1257"/>
      <c r="G46" s="378"/>
    </row>
    <row r="47">
      <c r="B47" s="1248"/>
      <c r="C47" s="1256"/>
      <c r="G47" s="1250"/>
    </row>
    <row r="48">
      <c r="B48" s="1251"/>
      <c r="C48" s="1257"/>
      <c r="G48" s="378"/>
    </row>
    <row r="49">
      <c r="B49" s="1248"/>
      <c r="C49" s="1256"/>
      <c r="G49" s="1250"/>
    </row>
    <row r="50">
      <c r="B50" s="1251"/>
      <c r="C50" s="1257"/>
      <c r="G50" s="378"/>
    </row>
    <row r="51">
      <c r="B51" s="1248"/>
      <c r="C51" s="1256"/>
      <c r="G51" s="1250"/>
    </row>
    <row r="52">
      <c r="B52" s="1251"/>
      <c r="C52" s="1257"/>
      <c r="G52" s="378"/>
    </row>
    <row r="53">
      <c r="B53" s="1248"/>
      <c r="C53" s="1256"/>
      <c r="G53" s="1250"/>
    </row>
    <row r="54">
      <c r="B54" s="1251"/>
      <c r="C54" s="1257"/>
      <c r="G54" s="378"/>
    </row>
    <row r="55">
      <c r="B55" s="1248"/>
      <c r="C55" s="1256"/>
      <c r="G55" s="1250"/>
    </row>
    <row r="56">
      <c r="B56" s="1251"/>
      <c r="C56" s="1257"/>
      <c r="G56" s="378"/>
    </row>
    <row r="57">
      <c r="B57" s="1248"/>
      <c r="C57" s="1256"/>
      <c r="G57" s="1250"/>
    </row>
    <row r="58">
      <c r="B58" s="1251"/>
      <c r="C58" s="1257"/>
      <c r="G58" s="378"/>
    </row>
    <row r="59">
      <c r="B59" s="1248"/>
      <c r="C59" s="1256"/>
      <c r="G59" s="1250"/>
    </row>
    <row r="60">
      <c r="B60" s="1251"/>
      <c r="C60" s="1257"/>
      <c r="G60" s="378"/>
    </row>
    <row r="61">
      <c r="B61" s="1248"/>
      <c r="C61" s="1256"/>
      <c r="G61" s="1250"/>
    </row>
    <row r="62">
      <c r="B62" s="1251"/>
      <c r="C62" s="1257"/>
      <c r="G62" s="378"/>
    </row>
    <row r="63">
      <c r="B63" s="1248"/>
      <c r="C63" s="1256"/>
      <c r="G63" s="1250"/>
    </row>
    <row r="64">
      <c r="B64" s="1251"/>
      <c r="C64" s="1257"/>
      <c r="G64" s="378"/>
    </row>
    <row r="65">
      <c r="B65" s="1248"/>
      <c r="C65" s="1256"/>
      <c r="G65" s="1250"/>
    </row>
    <row r="66">
      <c r="B66" s="1251"/>
      <c r="C66" s="1257"/>
      <c r="G66" s="378"/>
    </row>
    <row r="67">
      <c r="B67" s="1248"/>
      <c r="C67" s="1256"/>
      <c r="G67" s="1250"/>
    </row>
    <row r="68">
      <c r="B68" s="1251"/>
      <c r="C68" s="1257"/>
      <c r="G68" s="378"/>
    </row>
    <row r="69">
      <c r="B69" s="1248"/>
      <c r="C69" s="1256"/>
      <c r="G69" s="1250"/>
    </row>
    <row r="70">
      <c r="B70" s="1251"/>
      <c r="C70" s="1257"/>
      <c r="G70" s="378"/>
    </row>
    <row r="71">
      <c r="B71" s="1248"/>
      <c r="C71" s="1256"/>
      <c r="G71" s="1250"/>
    </row>
    <row r="72">
      <c r="B72" s="1251"/>
      <c r="C72" s="1257"/>
      <c r="G72" s="378"/>
    </row>
    <row r="73">
      <c r="B73" s="1248"/>
      <c r="C73" s="1256"/>
      <c r="G73" s="1250"/>
    </row>
    <row r="74">
      <c r="B74" s="1251"/>
      <c r="C74" s="1257"/>
      <c r="G74" s="378"/>
    </row>
    <row r="75">
      <c r="B75" s="1248"/>
      <c r="C75" s="1256"/>
      <c r="G75" s="1250"/>
    </row>
    <row r="76">
      <c r="B76" s="1251"/>
      <c r="C76" s="1257"/>
      <c r="G76" s="378"/>
    </row>
    <row r="77">
      <c r="B77" s="1248"/>
      <c r="C77" s="1256"/>
      <c r="G77" s="1250"/>
    </row>
    <row r="78">
      <c r="B78" s="1251"/>
      <c r="C78" s="1257"/>
      <c r="G78" s="378"/>
    </row>
    <row r="79">
      <c r="B79" s="1248"/>
      <c r="C79" s="1256"/>
      <c r="G79" s="1250"/>
    </row>
    <row r="80">
      <c r="B80" s="1251"/>
      <c r="C80" s="1257"/>
      <c r="G80" s="378"/>
    </row>
    <row r="81">
      <c r="B81" s="1248"/>
      <c r="C81" s="1256"/>
      <c r="G81" s="1250"/>
    </row>
    <row r="82">
      <c r="B82" s="1251"/>
      <c r="C82" s="1257"/>
      <c r="G82" s="378"/>
    </row>
    <row r="83">
      <c r="B83" s="1248"/>
      <c r="C83" s="1256"/>
      <c r="G83" s="1250"/>
    </row>
    <row r="84">
      <c r="B84" s="1251"/>
      <c r="C84" s="1257"/>
      <c r="G84" s="378"/>
    </row>
    <row r="85">
      <c r="B85" s="1248"/>
      <c r="C85" s="1256"/>
      <c r="G85" s="1250"/>
    </row>
    <row r="86">
      <c r="B86" s="1251"/>
      <c r="C86" s="1257"/>
      <c r="G86" s="378"/>
    </row>
    <row r="87">
      <c r="B87" s="1248"/>
      <c r="C87" s="1256"/>
      <c r="G87" s="1250"/>
    </row>
    <row r="88">
      <c r="B88" s="1251"/>
      <c r="C88" s="1257"/>
      <c r="G88" s="378"/>
    </row>
    <row r="89">
      <c r="B89" s="1248"/>
      <c r="C89" s="1256"/>
      <c r="G89" s="1250"/>
    </row>
    <row r="90">
      <c r="B90" s="1251"/>
      <c r="C90" s="1257"/>
      <c r="G90" s="378"/>
    </row>
    <row r="91">
      <c r="B91" s="1248"/>
      <c r="C91" s="1256"/>
      <c r="G91" s="1250"/>
    </row>
    <row r="92">
      <c r="B92" s="1251"/>
      <c r="C92" s="1257"/>
      <c r="G92" s="378"/>
    </row>
    <row r="93">
      <c r="B93" s="1248"/>
      <c r="C93" s="1256"/>
      <c r="G93" s="1250"/>
    </row>
    <row r="94">
      <c r="B94" s="1251"/>
      <c r="C94" s="1257"/>
      <c r="G94" s="378"/>
    </row>
    <row r="95">
      <c r="B95" s="1248"/>
      <c r="C95" s="1256"/>
      <c r="G95" s="1250"/>
    </row>
    <row r="96">
      <c r="B96" s="1251"/>
      <c r="C96" s="1257"/>
      <c r="G96" s="378"/>
    </row>
    <row r="97">
      <c r="B97" s="1248"/>
      <c r="C97" s="1256"/>
      <c r="G97" s="1250"/>
    </row>
    <row r="98">
      <c r="B98" s="1251"/>
      <c r="C98" s="1257"/>
      <c r="G98" s="378"/>
    </row>
    <row r="99">
      <c r="B99" s="1248"/>
      <c r="C99" s="1256"/>
      <c r="G99" s="1250"/>
    </row>
    <row r="100">
      <c r="B100" s="1251"/>
      <c r="C100" s="1257"/>
      <c r="G100" s="378"/>
    </row>
    <row r="101">
      <c r="B101" s="1248"/>
      <c r="C101" s="1256"/>
      <c r="G101" s="1250"/>
    </row>
    <row r="102">
      <c r="B102" s="1251"/>
      <c r="C102" s="1257"/>
      <c r="G102" s="378"/>
    </row>
    <row r="103">
      <c r="B103" s="1258"/>
      <c r="C103" s="1259"/>
      <c r="D103" s="1260"/>
      <c r="E103" s="1260"/>
      <c r="F103" s="1260"/>
      <c r="G103" s="1261"/>
    </row>
    <row r="104" ht="7.5" customHeight="1"/>
  </sheetData>
  <mergeCells count="100">
    <mergeCell ref="C53:G53"/>
    <mergeCell ref="C54:G54"/>
    <mergeCell ref="C55:G55"/>
    <mergeCell ref="C56:G56"/>
    <mergeCell ref="C57:G57"/>
    <mergeCell ref="C58:G58"/>
    <mergeCell ref="C59:G59"/>
    <mergeCell ref="C60:G60"/>
    <mergeCell ref="C61:G61"/>
    <mergeCell ref="C62:G62"/>
    <mergeCell ref="C63:G63"/>
    <mergeCell ref="C64:G64"/>
    <mergeCell ref="C65:G65"/>
    <mergeCell ref="C66:G66"/>
    <mergeCell ref="C67:G67"/>
    <mergeCell ref="C68:G68"/>
    <mergeCell ref="C69:G69"/>
    <mergeCell ref="C70:G70"/>
    <mergeCell ref="C71:G71"/>
    <mergeCell ref="C72:G72"/>
    <mergeCell ref="C73:G73"/>
    <mergeCell ref="C74:G74"/>
    <mergeCell ref="C75:G75"/>
    <mergeCell ref="C76:G76"/>
    <mergeCell ref="C77:G77"/>
    <mergeCell ref="C78:G78"/>
    <mergeCell ref="C79:G79"/>
    <mergeCell ref="C80:G80"/>
    <mergeCell ref="C81:G81"/>
    <mergeCell ref="C82:G82"/>
    <mergeCell ref="C83:G83"/>
    <mergeCell ref="C84:G84"/>
    <mergeCell ref="C85:G85"/>
    <mergeCell ref="C86:G86"/>
    <mergeCell ref="C87:G87"/>
    <mergeCell ref="C88:G88"/>
    <mergeCell ref="C89:G89"/>
    <mergeCell ref="C90:G90"/>
    <mergeCell ref="C91:G91"/>
    <mergeCell ref="C92:G92"/>
    <mergeCell ref="C93:G93"/>
    <mergeCell ref="C94:G94"/>
    <mergeCell ref="C102:G102"/>
    <mergeCell ref="C103:G103"/>
    <mergeCell ref="C95:G95"/>
    <mergeCell ref="C96:G96"/>
    <mergeCell ref="C97:G97"/>
    <mergeCell ref="C98:G98"/>
    <mergeCell ref="C99:G99"/>
    <mergeCell ref="C100:G100"/>
    <mergeCell ref="C101:G101"/>
    <mergeCell ref="B2:G3"/>
    <mergeCell ref="C5:G5"/>
    <mergeCell ref="C6:G6"/>
    <mergeCell ref="C7:G7"/>
    <mergeCell ref="C8:G8"/>
    <mergeCell ref="C9:G9"/>
    <mergeCell ref="C10:G10"/>
    <mergeCell ref="C11:G11"/>
    <mergeCell ref="C12:G12"/>
    <mergeCell ref="C13:G13"/>
    <mergeCell ref="C14:G14"/>
    <mergeCell ref="C15:G15"/>
    <mergeCell ref="C16:G16"/>
    <mergeCell ref="C17:G17"/>
    <mergeCell ref="C18:G18"/>
    <mergeCell ref="C19:G19"/>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17.29"/>
  </cols>
  <sheetData>
    <row r="1">
      <c r="A1" s="1262" t="s">
        <v>102</v>
      </c>
      <c r="B1" s="1263" t="s">
        <v>103</v>
      </c>
      <c r="E1" s="1264" t="s">
        <v>104</v>
      </c>
      <c r="F1" s="1265" t="s">
        <v>21</v>
      </c>
      <c r="G1" s="1265" t="s">
        <v>105</v>
      </c>
      <c r="H1" s="1266" t="s">
        <v>106</v>
      </c>
      <c r="I1" s="1267"/>
      <c r="J1" s="1267"/>
      <c r="K1" s="1267"/>
      <c r="L1" s="1267"/>
      <c r="M1" s="1267"/>
      <c r="N1" s="1267"/>
      <c r="O1" s="1267"/>
      <c r="P1" s="1267"/>
    </row>
    <row r="2">
      <c r="A2" s="1264" t="s">
        <v>70</v>
      </c>
      <c r="B2" s="1268"/>
      <c r="C2" s="1264" t="s">
        <v>107</v>
      </c>
      <c r="D2" s="1268"/>
      <c r="E2" s="1269" t="s">
        <v>104</v>
      </c>
      <c r="F2" t="str">
        <f>'Party Info'!C19</f>
        <v/>
      </c>
      <c r="G2" t="str">
        <f>'Party Info'!C4</f>
        <v/>
      </c>
      <c r="H2" s="1270" t="s">
        <v>106</v>
      </c>
      <c r="J2" s="1239"/>
    </row>
    <row r="3">
      <c r="A3" t="str">
        <f>IF( GT( COUNTIF( Animal_Hitch_Status, DraftAnimal1 ), 0 ), "", DraftAnimal1 )</f>
        <v/>
      </c>
      <c r="B3" s="1271" t="str">
        <f>IF( GT( COUNTIF( Animal_Hitch_Status, DraftAnimal1 ), 0 ), "", DraftAnimal1 )</f>
        <v/>
      </c>
      <c r="C3" s="130" t="s">
        <v>104</v>
      </c>
      <c r="D3" s="1271"/>
      <c r="E3" s="1272"/>
      <c r="F3" t="str">
        <f>'Party Info'!C20</f>
        <v/>
      </c>
      <c r="G3" t="str">
        <f>'Party Info'!C5</f>
        <v/>
      </c>
      <c r="H3" s="1271"/>
      <c r="J3" s="1239"/>
    </row>
    <row r="4">
      <c r="A4" t="str">
        <f>IF( GT( COUNTIF( Animal_Hitch_Status, DraftAnimal2 ), 0 ), "", DraftAnimal2 )</f>
        <v/>
      </c>
      <c r="B4" s="1271" t="str">
        <f>IF( GT( COUNTIF( Animal_Hitch_Status, DraftAnimal2 ), 0 ), "", DraftAnimal2 )</f>
        <v/>
      </c>
      <c r="C4" s="130" t="s">
        <v>21</v>
      </c>
      <c r="D4" s="1271"/>
      <c r="E4" s="1272"/>
      <c r="F4" t="str">
        <f>'Party Info'!C21</f>
        <v/>
      </c>
      <c r="G4" t="str">
        <f>'Party Info'!C6</f>
        <v/>
      </c>
      <c r="H4" s="1271"/>
      <c r="J4" s="130"/>
    </row>
    <row r="5">
      <c r="A5" t="str">
        <f>IF( GT( COUNTIF( Animal_Hitch_Status, DraftAnimal3 ), 0 ), "", DraftAnimal3 )</f>
        <v/>
      </c>
      <c r="B5" s="1271" t="str">
        <f>IF( GT( COUNTIF( Animal_Hitch_Status, DraftAnimal3 ), 0 ), "", DraftAnimal3 )</f>
        <v/>
      </c>
      <c r="C5" s="130" t="s">
        <v>105</v>
      </c>
      <c r="D5" s="1271"/>
      <c r="E5" s="1272"/>
      <c r="G5" t="str">
        <f>'Party Info'!C7</f>
        <v/>
      </c>
      <c r="H5" s="1271"/>
      <c r="J5" s="130"/>
    </row>
    <row r="6">
      <c r="A6" s="1273" t="str">
        <f>IF( GT( COUNTIF( Animal_Hitch_Status, DraftAnimal4 ), 0 ), "", DraftAnimal4 )</f>
        <v/>
      </c>
      <c r="B6" s="1274" t="str">
        <f>IF( GT( COUNTIF( Animal_Hitch_Status, DraftAnimal4 ), 0 ), "", DraftAnimal4 )</f>
        <v/>
      </c>
      <c r="C6" s="1275" t="s">
        <v>106</v>
      </c>
      <c r="D6" s="1276"/>
      <c r="E6" s="1272"/>
      <c r="G6" t="str">
        <f>'Party Info'!C8</f>
        <v/>
      </c>
      <c r="H6" s="1271"/>
      <c r="J6" s="130"/>
    </row>
    <row r="7">
      <c r="A7" s="1273" t="str">
        <f>IF( GT( COUNTIF( Animal_Hitch_Status, DraftAnimal5 ), 0 ), "", DraftAnimal5 )</f>
        <v/>
      </c>
      <c r="B7" s="1274" t="str">
        <f>IF( GT( COUNTIF( Animal_Hitch_Status, DraftAnimal5 ), 0 ), "", DraftAnimal5 )</f>
        <v/>
      </c>
      <c r="E7" s="1272"/>
      <c r="G7" t="str">
        <f>'Party Info'!C9</f>
        <v/>
      </c>
      <c r="H7" s="1271"/>
      <c r="J7" s="130"/>
    </row>
    <row r="8">
      <c r="A8" s="1273" t="str">
        <f>IF( GT( COUNTIF( Animal_Hitch_Status, DraftAnimal6 ), 0 ), "", DraftAnimal6 )</f>
        <v/>
      </c>
      <c r="B8" s="1274" t="str">
        <f>IF( GT( COUNTIF( Animal_Hitch_Status, DraftAnimal6 ), 0 ), "", DraftAnimal6 )</f>
        <v/>
      </c>
      <c r="E8" s="1272"/>
      <c r="G8" t="str">
        <f>'Party Info'!C10</f>
        <v/>
      </c>
      <c r="H8" s="1271"/>
      <c r="J8" s="130"/>
    </row>
    <row r="9">
      <c r="A9" s="1273" t="str">
        <f>IF( GT( COUNTIF( Animal_Hitch_Status, DraftAnimal7 ), 0 ), "", DraftAnimal7 )</f>
        <v/>
      </c>
      <c r="B9" s="1274" t="str">
        <f>IF( GT( COUNTIF( Animal_Hitch_Status, DraftAnimal7 ), 0 ), "", DraftAnimal7 )</f>
        <v/>
      </c>
      <c r="E9" s="1272"/>
      <c r="G9" t="str">
        <f>'Party Info'!C11</f>
        <v/>
      </c>
      <c r="H9" s="1271"/>
      <c r="J9" s="130"/>
    </row>
    <row r="10">
      <c r="A10" s="1273" t="str">
        <f>IF( GT( COUNTIF( Animal_Hitch_Status, DraftAnimal8 ), 0 ), "", DraftAnimal8 )</f>
        <v/>
      </c>
      <c r="B10" s="1274" t="str">
        <f>IF( GT( COUNTIF( Animal_Hitch_Status, DraftAnimal8 ), 0 ), "", DraftAnimal8 )</f>
        <v/>
      </c>
      <c r="E10" s="1272"/>
      <c r="G10" t="str">
        <f>'Party Info'!C12</f>
        <v/>
      </c>
      <c r="H10" s="1271"/>
      <c r="J10" s="130"/>
    </row>
    <row r="11">
      <c r="A11" s="1273" t="str">
        <f>IF( GT( COUNTIF( Animal_Hitch_Status, DraftAnimal9 ), 0 ), "", DraftAnimal9 )</f>
        <v/>
      </c>
      <c r="B11" s="1274" t="str">
        <f>IF( GT( COUNTIF( Animal_Hitch_Status, DraftAnimal9 ), 0 ), "", DraftAnimal9 )</f>
        <v/>
      </c>
      <c r="E11" s="1272"/>
      <c r="G11" t="str">
        <f>'Party Info'!C13</f>
        <v/>
      </c>
      <c r="H11" s="1271"/>
      <c r="J11" s="130"/>
    </row>
    <row r="12">
      <c r="A12" s="1273" t="str">
        <f>IF( GT( COUNTIF( Animal_Hitch_Status, DraftAnimal10 ), 0 ), "", DraftAnimal10 )</f>
        <v/>
      </c>
      <c r="B12" s="1274" t="str">
        <f>IF( GT( COUNTIF( Animal_Hitch_Status, DraftAnimal10 ), 0 ), "", DraftAnimal10 )</f>
        <v/>
      </c>
      <c r="E12" s="1272"/>
      <c r="G12" t="str">
        <f>'Party Info'!C14</f>
        <v/>
      </c>
      <c r="H12" s="1271"/>
      <c r="J12" s="130"/>
    </row>
    <row r="13">
      <c r="A13" s="1273" t="str">
        <f>IF( GT( COUNTIF( Animal_Hitch_Status, DraftAnimal11 ), 0 ), "", DraftAnimal11 )</f>
        <v/>
      </c>
      <c r="B13" s="1274" t="str">
        <f>IF( GT( COUNTIF( Animal_Hitch_Status, DraftAnimal11 ), 0 ), "", DraftAnimal11 )</f>
        <v/>
      </c>
      <c r="E13" s="1277"/>
      <c r="F13" s="1278"/>
      <c r="G13" s="1278" t="str">
        <f>'Party Info'!C15</f>
        <v/>
      </c>
      <c r="H13" s="1276"/>
      <c r="J13" s="130"/>
    </row>
    <row r="14">
      <c r="A14" s="1273" t="str">
        <f>IF( GT( COUNTIF( Animal_Hitch_Status, DraftAnimal12 ), 0 ), "", DraftAnimal12 )</f>
        <v/>
      </c>
      <c r="B14" s="1274" t="str">
        <f>IF( GT( COUNTIF( Animal_Hitch_Status, DraftAnimal12 ), 0 ), "", DraftAnimal12 )</f>
        <v/>
      </c>
      <c r="J14" s="130"/>
    </row>
    <row r="15">
      <c r="A15" s="1272" t="str">
        <f>'Party Info'!I4</f>
        <v/>
      </c>
      <c r="B15" s="1271" t="str">
        <f>'Party Info'!K4</f>
        <v/>
      </c>
    </row>
    <row r="16">
      <c r="A16" s="1272" t="str">
        <f>'Party Info'!I5</f>
        <v/>
      </c>
      <c r="B16" s="1271" t="str">
        <f>'Party Info'!K5</f>
        <v/>
      </c>
    </row>
    <row r="17">
      <c r="A17" s="1272" t="str">
        <f>'Party Info'!I6</f>
        <v/>
      </c>
      <c r="B17" s="1271" t="str">
        <f>'Party Info'!K6</f>
        <v/>
      </c>
    </row>
    <row r="18">
      <c r="A18" s="1272" t="str">
        <f>'Party Info'!I7</f>
        <v/>
      </c>
      <c r="B18" s="1271" t="str">
        <f>'Party Info'!K7</f>
        <v/>
      </c>
    </row>
    <row r="19">
      <c r="A19" s="1272" t="str">
        <f>'Party Info'!I8</f>
        <v/>
      </c>
      <c r="B19" s="1271" t="str">
        <f>'Party Info'!K8</f>
        <v/>
      </c>
    </row>
    <row r="20">
      <c r="A20" s="1272" t="str">
        <f>'Party Info'!I9</f>
        <v/>
      </c>
      <c r="B20" s="1271" t="str">
        <f>'Party Info'!K9</f>
        <v/>
      </c>
    </row>
    <row r="21">
      <c r="A21" s="1272" t="str">
        <f>'Party Info'!I10</f>
        <v/>
      </c>
      <c r="B21" s="1271" t="str">
        <f>'Party Info'!K10</f>
        <v/>
      </c>
    </row>
    <row r="22">
      <c r="A22" s="1272" t="str">
        <f>'Party Info'!I11</f>
        <v/>
      </c>
      <c r="B22" s="1271" t="str">
        <f>'Party Info'!K11</f>
        <v/>
      </c>
    </row>
    <row r="23">
      <c r="A23" s="1272" t="str">
        <f>'Party Info'!I12</f>
        <v/>
      </c>
      <c r="B23" s="1271" t="str">
        <f>'Party Info'!K12</f>
        <v/>
      </c>
    </row>
    <row r="24">
      <c r="A24" s="1272" t="str">
        <f>'Party Info'!I13</f>
        <v/>
      </c>
      <c r="B24" s="1271" t="str">
        <f>'Party Info'!K13</f>
        <v/>
      </c>
    </row>
    <row r="25">
      <c r="A25" s="1272" t="str">
        <f>'Party Info'!I14</f>
        <v/>
      </c>
      <c r="B25" s="1271" t="str">
        <f>'Party Info'!K14</f>
        <v/>
      </c>
    </row>
    <row r="26">
      <c r="A26" s="1272" t="str">
        <f>'Party Info'!I15</f>
        <v/>
      </c>
      <c r="B26" s="1271" t="str">
        <f>'Party Info'!K15</f>
        <v/>
      </c>
    </row>
    <row r="27">
      <c r="A27" s="1272" t="str">
        <f>'Party Info'!C19</f>
        <v/>
      </c>
      <c r="B27" s="1271" t="str">
        <f>'Party Info'!C19</f>
        <v/>
      </c>
    </row>
    <row r="28">
      <c r="A28" s="1272" t="str">
        <f>'Party Info'!C20</f>
        <v/>
      </c>
      <c r="B28" s="1271" t="str">
        <f>'Party Info'!C20</f>
        <v/>
      </c>
    </row>
    <row r="29">
      <c r="A29" s="1277" t="str">
        <f>'Party Info'!C21</f>
        <v/>
      </c>
      <c r="B29" s="1276" t="str">
        <f>'Party Info'!C21</f>
        <v/>
      </c>
    </row>
    <row r="31">
      <c r="A31" s="1264" t="s">
        <v>65</v>
      </c>
      <c r="B31" s="1265" t="s">
        <v>108</v>
      </c>
      <c r="C31" s="1279" t="s">
        <v>65</v>
      </c>
    </row>
    <row r="32">
      <c r="A32" s="1269">
        <v>0.0</v>
      </c>
      <c r="B32" s="130">
        <v>1.0</v>
      </c>
      <c r="C32" s="1270">
        <v>0.0</v>
      </c>
    </row>
    <row r="33">
      <c r="A33" s="1269">
        <v>300.0</v>
      </c>
      <c r="B33" s="130">
        <v>2.0</v>
      </c>
      <c r="C33" s="1270">
        <v>300.0</v>
      </c>
    </row>
    <row r="34">
      <c r="A34" s="1269">
        <v>900.0</v>
      </c>
      <c r="B34" s="130">
        <v>3.0</v>
      </c>
      <c r="C34" s="1270">
        <v>900.0</v>
      </c>
    </row>
    <row r="35">
      <c r="A35" s="1280">
        <v>2700.0</v>
      </c>
      <c r="B35" s="130">
        <v>4.0</v>
      </c>
      <c r="C35" s="1281">
        <v>2700.0</v>
      </c>
    </row>
    <row r="36">
      <c r="A36" s="1280">
        <v>6500.0</v>
      </c>
      <c r="B36" s="130">
        <v>5.0</v>
      </c>
      <c r="C36" s="1281">
        <v>6500.0</v>
      </c>
    </row>
    <row r="37">
      <c r="A37" s="1280">
        <v>14000.0</v>
      </c>
      <c r="B37" s="130">
        <v>6.0</v>
      </c>
      <c r="C37" s="1281">
        <v>14000.0</v>
      </c>
    </row>
    <row r="38">
      <c r="A38" s="1280">
        <v>23000.0</v>
      </c>
      <c r="B38" s="130">
        <v>7.0</v>
      </c>
      <c r="C38" s="1281">
        <v>23000.0</v>
      </c>
    </row>
    <row r="39">
      <c r="A39" s="1280">
        <v>34000.0</v>
      </c>
      <c r="B39" s="130">
        <v>8.0</v>
      </c>
      <c r="C39" s="1281">
        <v>34000.0</v>
      </c>
    </row>
    <row r="40">
      <c r="A40" s="1280">
        <v>48000.0</v>
      </c>
      <c r="B40" s="130">
        <v>9.0</v>
      </c>
      <c r="C40" s="1281">
        <v>48000.0</v>
      </c>
    </row>
    <row r="41">
      <c r="A41" s="1280">
        <v>64000.0</v>
      </c>
      <c r="B41" s="130">
        <v>10.0</v>
      </c>
      <c r="C41" s="1281">
        <v>64000.0</v>
      </c>
    </row>
    <row r="42">
      <c r="A42" s="1280">
        <v>85000.0</v>
      </c>
      <c r="B42" s="130">
        <v>11.0</v>
      </c>
      <c r="C42" s="1281">
        <v>85000.0</v>
      </c>
    </row>
    <row r="43">
      <c r="A43" s="1280">
        <v>100000.0</v>
      </c>
      <c r="B43" s="130">
        <v>12.0</v>
      </c>
      <c r="C43" s="1281">
        <v>100000.0</v>
      </c>
    </row>
    <row r="44">
      <c r="A44" s="1280">
        <v>120000.0</v>
      </c>
      <c r="B44" s="130">
        <v>13.0</v>
      </c>
      <c r="C44" s="1281">
        <v>120000.0</v>
      </c>
    </row>
    <row r="45">
      <c r="A45" s="1280">
        <v>140000.0</v>
      </c>
      <c r="B45" s="130">
        <v>14.0</v>
      </c>
      <c r="C45" s="1281">
        <v>140000.0</v>
      </c>
    </row>
    <row r="46">
      <c r="A46" s="1280">
        <v>165000.0</v>
      </c>
      <c r="B46" s="130">
        <v>15.0</v>
      </c>
      <c r="C46" s="1281">
        <v>165000.0</v>
      </c>
    </row>
    <row r="47">
      <c r="A47" s="1280">
        <v>195000.0</v>
      </c>
      <c r="B47" s="130">
        <v>16.0</v>
      </c>
      <c r="C47" s="1281">
        <v>195000.0</v>
      </c>
    </row>
    <row r="48">
      <c r="A48" s="1280">
        <v>225000.0</v>
      </c>
      <c r="B48" s="130">
        <v>17.0</v>
      </c>
      <c r="C48" s="1281">
        <v>225000.0</v>
      </c>
    </row>
    <row r="49">
      <c r="A49" s="1280">
        <v>265000.0</v>
      </c>
      <c r="B49" s="130">
        <v>18.0</v>
      </c>
      <c r="C49" s="1281">
        <v>265000.0</v>
      </c>
    </row>
    <row r="50">
      <c r="A50" s="1280">
        <v>305000.0</v>
      </c>
      <c r="B50" s="130">
        <v>19.0</v>
      </c>
      <c r="C50" s="1281">
        <v>305000.0</v>
      </c>
    </row>
    <row r="51">
      <c r="A51" s="1282">
        <v>355000.0</v>
      </c>
      <c r="B51" s="1275">
        <v>20.0</v>
      </c>
      <c r="C51" s="1283">
        <v>355000.0</v>
      </c>
    </row>
    <row r="53">
      <c r="A53" s="1264" t="s">
        <v>4</v>
      </c>
      <c r="B53" s="1279" t="s">
        <v>109</v>
      </c>
    </row>
    <row r="54">
      <c r="A54" s="1269" t="s">
        <v>110</v>
      </c>
      <c r="B54" s="1270">
        <v>1.0</v>
      </c>
    </row>
    <row r="55">
      <c r="A55" s="1269" t="s">
        <v>111</v>
      </c>
      <c r="B55" s="1270">
        <v>2.0</v>
      </c>
    </row>
    <row r="56">
      <c r="A56" s="1284" t="s">
        <v>112</v>
      </c>
      <c r="B56" s="1285">
        <v>4.0</v>
      </c>
    </row>
  </sheetData>
  <mergeCells count="1">
    <mergeCell ref="B1:D1"/>
  </mergeCells>
  <drawing r:id="rId1"/>
</worksheet>
</file>