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Palant\DESKTOP\"/>
    </mc:Choice>
  </mc:AlternateContent>
  <xr:revisionPtr revIDLastSave="0" documentId="8_{E31527E7-98FE-448C-9A9E-C8A7972E624E}" xr6:coauthVersionLast="47" xr6:coauthVersionMax="47" xr10:uidLastSave="{00000000-0000-0000-0000-000000000000}"/>
  <bookViews>
    <workbookView xWindow="-108" yWindow="-108" windowWidth="23256" windowHeight="12456" activeTab="4" xr2:uid="{00000000-000D-0000-FFFF-FFFF00000000}"/>
  </bookViews>
  <sheets>
    <sheet name="Read This First" sheetId="1" r:id="rId1"/>
    <sheet name="How to Use" sheetId="2" r:id="rId2"/>
    <sheet name="Nations and Settlements" sheetId="3" r:id="rId3"/>
    <sheet name="Overland Travel Speeds" sheetId="4" r:id="rId4"/>
    <sheet name="Experimental" sheetId="5" r:id="rId5"/>
  </sheets>
  <calcPr calcId="191029"/>
  <fileRecoveryPr repairLoad="1"/>
</workbook>
</file>

<file path=xl/calcChain.xml><?xml version="1.0" encoding="utf-8"?>
<calcChain xmlns="http://schemas.openxmlformats.org/spreadsheetml/2006/main">
  <c r="H21" i="5" l="1"/>
  <c r="I20" i="5"/>
  <c r="I21" i="5" s="1"/>
  <c r="N14" i="5"/>
  <c r="N13" i="5"/>
  <c r="N12" i="5"/>
  <c r="N11" i="5"/>
  <c r="L11" i="5"/>
  <c r="N10" i="5"/>
  <c r="L10" i="5"/>
  <c r="L9" i="5"/>
  <c r="L8" i="5"/>
  <c r="J8" i="5"/>
  <c r="L7" i="5"/>
  <c r="J7" i="5"/>
  <c r="G7" i="5"/>
  <c r="F7" i="5"/>
  <c r="C7" i="5"/>
  <c r="B9" i="5" s="1"/>
  <c r="J6" i="5"/>
  <c r="J5" i="5"/>
  <c r="E5" i="5"/>
  <c r="J4" i="5"/>
  <c r="H3" i="5"/>
  <c r="H5" i="5" s="1"/>
  <c r="G3" i="5"/>
  <c r="Y15" i="4"/>
  <c r="Y13" i="4"/>
  <c r="Z12" i="4"/>
  <c r="Z11" i="4"/>
  <c r="Z13" i="4" s="1"/>
  <c r="Y11" i="4"/>
  <c r="Y10" i="4"/>
  <c r="Q10" i="4"/>
  <c r="Y9" i="4"/>
  <c r="Q8" i="4"/>
  <c r="Y7" i="4"/>
  <c r="Y6" i="4"/>
  <c r="Q6" i="4"/>
  <c r="Y5" i="4"/>
  <c r="Q4" i="4"/>
  <c r="C19" i="3"/>
  <c r="A17" i="3"/>
  <c r="C11" i="3"/>
  <c r="E9" i="3"/>
  <c r="C15" i="3" s="1"/>
  <c r="D15" i="3" s="1"/>
  <c r="A9" i="3"/>
  <c r="D4" i="3"/>
  <c r="A4" i="3"/>
  <c r="F2" i="3"/>
  <c r="I13" i="3" s="1"/>
  <c r="D8" i="4" l="1"/>
  <c r="E8" i="4" s="1"/>
  <c r="F5" i="4"/>
  <c r="G5" i="4" s="1"/>
  <c r="V15" i="4"/>
  <c r="W15" i="4" s="1"/>
  <c r="V10" i="4"/>
  <c r="W10" i="4" s="1"/>
  <c r="T9" i="4"/>
  <c r="U9" i="4" s="1"/>
  <c r="B9" i="4"/>
  <c r="C9" i="4" s="1"/>
  <c r="F7" i="4"/>
  <c r="G7" i="4" s="1"/>
  <c r="N6" i="4"/>
  <c r="O6" i="4" s="1"/>
  <c r="V11" i="4"/>
  <c r="W11" i="4" s="1"/>
  <c r="B8" i="4"/>
  <c r="C8" i="4" s="1"/>
  <c r="V5" i="4"/>
  <c r="W5" i="4" s="1"/>
  <c r="D5" i="4"/>
  <c r="E5" i="4" s="1"/>
  <c r="D7" i="4"/>
  <c r="E7" i="4" s="1"/>
  <c r="L9" i="4"/>
  <c r="M9" i="4" s="1"/>
  <c r="B7" i="4"/>
  <c r="C7" i="4" s="1"/>
  <c r="D6" i="4"/>
  <c r="E6" i="4" s="1"/>
  <c r="T15" i="4"/>
  <c r="U15" i="4" s="1"/>
  <c r="T10" i="4"/>
  <c r="U10" i="4" s="1"/>
  <c r="N9" i="4"/>
  <c r="O9" i="4" s="1"/>
  <c r="L6" i="4"/>
  <c r="M6" i="4" s="1"/>
  <c r="J6" i="4"/>
  <c r="K6" i="4" s="1"/>
  <c r="L7" i="4"/>
  <c r="M7" i="4" s="1"/>
  <c r="J11" i="4"/>
  <c r="K11" i="4" s="1"/>
  <c r="F8" i="4"/>
  <c r="G8" i="4" s="1"/>
  <c r="J7" i="4"/>
  <c r="K7" i="4" s="1"/>
  <c r="J4" i="4"/>
  <c r="K4" i="4" s="1"/>
  <c r="T11" i="4"/>
  <c r="U11" i="4" s="1"/>
  <c r="N8" i="4"/>
  <c r="O8" i="4" s="1"/>
  <c r="T5" i="4"/>
  <c r="U5" i="4" s="1"/>
  <c r="B5" i="4"/>
  <c r="C5" i="4" s="1"/>
  <c r="V7" i="4"/>
  <c r="W7" i="4" s="1"/>
  <c r="T6" i="4"/>
  <c r="U6" i="4" s="1"/>
  <c r="D9" i="4"/>
  <c r="E9" i="4" s="1"/>
  <c r="B6" i="4"/>
  <c r="C6" i="4" s="1"/>
  <c r="N11" i="4"/>
  <c r="O11" i="4" s="1"/>
  <c r="N10" i="4"/>
  <c r="O10" i="4" s="1"/>
  <c r="L8" i="4"/>
  <c r="M8" i="4" s="1"/>
  <c r="N5" i="4"/>
  <c r="O5" i="4" s="1"/>
  <c r="L11" i="4"/>
  <c r="M11" i="4" s="1"/>
  <c r="V13" i="4"/>
  <c r="W13" i="4" s="1"/>
  <c r="J9" i="4"/>
  <c r="K9" i="4" s="1"/>
  <c r="T7" i="4"/>
  <c r="U7" i="4" s="1"/>
  <c r="F6" i="4"/>
  <c r="G6" i="4" s="1"/>
  <c r="N4" i="4"/>
  <c r="O4" i="4" s="1"/>
  <c r="L10" i="4"/>
  <c r="M10" i="4" s="1"/>
  <c r="J8" i="4"/>
  <c r="K8" i="4" s="1"/>
  <c r="V6" i="4"/>
  <c r="W6" i="4" s="1"/>
  <c r="L5" i="4"/>
  <c r="M5" i="4" s="1"/>
  <c r="T13" i="4"/>
  <c r="U13" i="4" s="1"/>
  <c r="F9" i="4"/>
  <c r="G9" i="4" s="1"/>
  <c r="L4" i="4"/>
  <c r="M4" i="4" s="1"/>
  <c r="J10" i="4"/>
  <c r="K10" i="4" s="1"/>
  <c r="J5" i="4"/>
  <c r="K5" i="4" s="1"/>
  <c r="F11" i="5"/>
  <c r="G11" i="5" s="1"/>
  <c r="F17" i="5"/>
  <c r="G17" i="5" s="1"/>
  <c r="H12" i="5"/>
  <c r="I12" i="5" s="1"/>
  <c r="H16" i="5"/>
  <c r="I16" i="5" s="1"/>
  <c r="F15" i="5"/>
  <c r="G15" i="5" s="1"/>
  <c r="F14" i="5"/>
  <c r="G14" i="5" s="1"/>
  <c r="F12" i="5"/>
  <c r="G12" i="5" s="1"/>
  <c r="F16" i="5"/>
  <c r="G16" i="5" s="1"/>
  <c r="F10" i="5"/>
  <c r="G10" i="5" s="1"/>
  <c r="F18" i="5"/>
  <c r="G18" i="5" s="1"/>
  <c r="H11" i="5"/>
  <c r="I11" i="5" s="1"/>
  <c r="F13" i="5"/>
  <c r="G13" i="5" s="1"/>
  <c r="C13" i="3"/>
  <c r="F4" i="3"/>
  <c r="B6" i="3" s="1"/>
  <c r="C14" i="3"/>
  <c r="D14" i="3" s="1"/>
  <c r="J19" i="5"/>
  <c r="H14" i="5" l="1"/>
  <c r="I14" i="5" s="1"/>
  <c r="C12" i="3"/>
  <c r="D12" i="3" s="1"/>
  <c r="D13" i="3"/>
  <c r="H17" i="5"/>
  <c r="I17" i="5" s="1"/>
  <c r="J17" i="5" s="1"/>
  <c r="H15" i="5"/>
  <c r="I15" i="5" s="1"/>
  <c r="J14" i="5"/>
  <c r="J12" i="5"/>
  <c r="J16" i="5"/>
  <c r="J10" i="5"/>
  <c r="J18" i="5"/>
  <c r="J15" i="5"/>
  <c r="J13" i="5"/>
  <c r="J11" i="5"/>
  <c r="H18" i="5"/>
  <c r="I18" i="5" s="1"/>
  <c r="H13" i="5"/>
  <c r="I13" i="5" s="1"/>
  <c r="H10" i="5"/>
  <c r="I10" i="5" s="1"/>
  <c r="B7" i="3"/>
  <c r="C7" i="3" s="1"/>
  <c r="C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200-000001000000}">
      <text>
        <r>
          <rPr>
            <sz val="10"/>
            <color rgb="FF000000"/>
            <rFont val="Arial"/>
            <scheme val="minor"/>
          </rPr>
          <t>Helps to decide where your settlements should lie. Please note that this only measures growth potential, not recommended size.
Check the box to denote that the feature is present.</t>
        </r>
      </text>
    </comment>
    <comment ref="M1" authorId="0" shapeId="0" xr:uid="{00000000-0006-0000-0200-000002000000}">
      <text>
        <r>
          <rPr>
            <sz val="10"/>
            <color rgb="FF000000"/>
            <rFont val="Arial"/>
            <scheme val="minor"/>
          </rPr>
          <t>For Villages less than 500 people and Towns less than 1,500 people, see Settlement basics for more details.</t>
        </r>
      </text>
    </comment>
    <comment ref="B2" authorId="0" shapeId="0" xr:uid="{00000000-0006-0000-0200-000003000000}">
      <text>
        <r>
          <rPr>
            <sz val="10"/>
            <color rgb="FF000000"/>
            <rFont val="Arial"/>
            <scheme val="minor"/>
          </rPr>
          <t>Per square mile</t>
        </r>
      </text>
    </comment>
    <comment ref="C2" authorId="0" shapeId="0" xr:uid="{00000000-0006-0000-0200-000004000000}">
      <text>
        <r>
          <rPr>
            <sz val="10"/>
            <color rgb="FF000000"/>
            <rFont val="Arial"/>
            <scheme val="minor"/>
          </rPr>
          <t>In square miles</t>
        </r>
      </text>
    </comment>
    <comment ref="J2" authorId="0" shapeId="0" xr:uid="{00000000-0006-0000-0200-000005000000}">
      <text>
        <r>
          <rPr>
            <sz val="10"/>
            <color rgb="FF000000"/>
            <rFont val="Arial"/>
            <scheme val="minor"/>
          </rPr>
          <t>Can come from wells, aqueducts, etc. The larger the settlement, the more water needed.</t>
        </r>
      </text>
    </comment>
    <comment ref="A3" authorId="0" shapeId="0" xr:uid="{00000000-0006-0000-0200-000006000000}">
      <text>
        <r>
          <rPr>
            <sz val="10"/>
            <color rgb="FF000000"/>
            <rFont val="Arial"/>
            <scheme val="minor"/>
          </rPr>
          <t>Input the name of your region or polity here.</t>
        </r>
      </text>
    </comment>
    <comment ref="B3" authorId="0" shapeId="0" xr:uid="{00000000-0006-0000-0200-000007000000}">
      <text>
        <r>
          <rPr>
            <sz val="10"/>
            <color rgb="FF000000"/>
            <rFont val="Arial"/>
            <scheme val="minor"/>
          </rPr>
          <t>Input the population density of your region or polity here. This number is people per square mile.</t>
        </r>
      </text>
    </comment>
    <comment ref="C3" authorId="0" shapeId="0" xr:uid="{00000000-0006-0000-0200-000008000000}">
      <text>
        <r>
          <rPr>
            <sz val="10"/>
            <color rgb="FF000000"/>
            <rFont val="Arial"/>
            <scheme val="minor"/>
          </rPr>
          <t>Input the area of your region or polity here, in square miles.</t>
        </r>
      </text>
    </comment>
    <comment ref="D3" authorId="0" shapeId="0" xr:uid="{00000000-0006-0000-0200-000009000000}">
      <text>
        <r>
          <rPr>
            <sz val="10"/>
            <color rgb="FF000000"/>
            <rFont val="Arial"/>
            <scheme val="minor"/>
          </rPr>
          <t>60 is regarded as good historical yields.
180 is used by Medieval Demographics Made Easy.
400 is perfectly ideal conditions: flattened cleared land, 2 growing seasons, no war, good technology, etc.</t>
        </r>
      </text>
    </comment>
    <comment ref="J3" authorId="0" shapeId="0" xr:uid="{00000000-0006-0000-0200-00000A000000}">
      <text>
        <r>
          <rPr>
            <sz val="10"/>
            <color rgb="FF000000"/>
            <rFont val="Arial"/>
            <scheme val="minor"/>
          </rPr>
          <t>Rivers, if large enough, also qualify.</t>
        </r>
      </text>
    </comment>
    <comment ref="M3" authorId="0" shapeId="0" xr:uid="{00000000-0006-0000-0200-00000B000000}">
      <text>
        <r>
          <rPr>
            <sz val="10"/>
            <color rgb="FF000000"/>
            <rFont val="Arial"/>
            <scheme val="minor"/>
          </rPr>
          <t>These businesses are to be added to the number of business present in villages less than 500 people. See Settlement Basics for more details.
The bureaucracy is at a slightly higher level than villages with fewer then 500 people, with the post of Mayor/Reeve/Headman being a full-time position. Other minor positions are most likely full-time, and a single sergeant with half a dozen soldiers or more is most likely present.</t>
        </r>
      </text>
    </comment>
    <comment ref="O3" authorId="0" shapeId="0" xr:uid="{00000000-0006-0000-0200-00000C000000}">
      <text>
        <r>
          <rPr>
            <sz val="10"/>
            <color rgb="FF000000"/>
            <rFont val="Arial"/>
            <scheme val="minor"/>
          </rPr>
          <t>For Towns less than 1,500 people, see Settlement Basics for more details.
This is the level at which sizable bureaucracies begin to exist, operating out of one or more civic halls.  Tax collection, records, justice, civic defense, and so on will have entire departments, with formal military companies almost certainly being present.</t>
        </r>
      </text>
    </comment>
    <comment ref="Q3" authorId="0" shapeId="0" xr:uid="{00000000-0006-0000-0200-00000D000000}">
      <text>
        <r>
          <rPr>
            <sz val="10"/>
            <color rgb="FF000000"/>
            <rFont val="Arial"/>
            <scheme val="minor"/>
          </rPr>
          <t>Numbers for businesses are for when the population is a maximum of 500. If you lower the population of the settlement, remove businesses at your discretion.
Most residents who don't run a specific business will do other jobs, such as carpentry and masonry, on a part-time basis. Depending on the culture, a one-room schoolhouse may be present, with classes being taught by the scribe, the priest, or an educated villager.</t>
        </r>
      </text>
    </comment>
    <comment ref="S3" authorId="0" shapeId="0" xr:uid="{00000000-0006-0000-0200-00000E000000}">
      <text>
        <r>
          <rPr>
            <sz val="10"/>
            <color rgb="FF000000"/>
            <rFont val="Arial"/>
            <scheme val="minor"/>
          </rPr>
          <t>At this level, a small bureaucracy would be present.  A settlement of this size would have a mayor who may also double as the local magistrate, a tax collector, a dedicated scribe, and a captain for the local militia who would be responsible for the maintenance of any defenses. If this settlement is any sort of regional center, it would also have staff under the jurisdiction of the central government, such as a governor or noble, who would in turn have their own staff along with a couple dozen soldiers and officers, with the appropriate buildings to house them.</t>
        </r>
      </text>
    </comment>
    <comment ref="M4" authorId="0" shapeId="0" xr:uid="{00000000-0006-0000-0200-00000F000000}">
      <text>
        <r>
          <rPr>
            <sz val="10"/>
            <color rgb="FF000000"/>
            <rFont val="Arial"/>
            <scheme val="minor"/>
          </rPr>
          <t>Input the population of your settlement here.</t>
        </r>
      </text>
    </comment>
    <comment ref="O4" authorId="0" shapeId="0" xr:uid="{00000000-0006-0000-0200-000010000000}">
      <text>
        <r>
          <rPr>
            <sz val="10"/>
            <color rgb="FF000000"/>
            <rFont val="Arial"/>
            <scheme val="minor"/>
          </rPr>
          <t>Input the population of your settlement here.</t>
        </r>
      </text>
    </comment>
    <comment ref="Q4" authorId="0" shapeId="0" xr:uid="{00000000-0006-0000-0200-000011000000}">
      <text>
        <r>
          <rPr>
            <sz val="10"/>
            <color rgb="FF000000"/>
            <rFont val="Arial"/>
            <scheme val="minor"/>
          </rPr>
          <t>1-2 clergymen present here, with an appropriate number of acolytes.</t>
        </r>
      </text>
    </comment>
    <comment ref="S4" authorId="0" shapeId="0" xr:uid="{00000000-0006-0000-0200-000012000000}">
      <text>
        <r>
          <rPr>
            <sz val="10"/>
            <color rgb="FF000000"/>
            <rFont val="Arial"/>
            <scheme val="minor"/>
          </rPr>
          <t>Only one present</t>
        </r>
      </text>
    </comment>
    <comment ref="N5" authorId="0" shapeId="0" xr:uid="{00000000-0006-0000-0200-000013000000}">
      <text>
        <r>
          <rPr>
            <sz val="10"/>
            <color rgb="FF000000"/>
            <rFont val="Arial"/>
            <scheme val="minor"/>
          </rPr>
          <t>1 per 750</t>
        </r>
      </text>
    </comment>
    <comment ref="Q5" authorId="0" shapeId="0" xr:uid="{00000000-0006-0000-0200-000014000000}">
      <text>
        <r>
          <rPr>
            <sz val="10"/>
            <color rgb="FF000000"/>
            <rFont val="Arial"/>
            <scheme val="minor"/>
          </rPr>
          <t>Only one present. Alternatively could be an herbalist or physician. Certain cultures would see the local priest taking this role.</t>
        </r>
      </text>
    </comment>
    <comment ref="S5" authorId="0" shapeId="0" xr:uid="{00000000-0006-0000-0200-000015000000}">
      <text>
        <r>
          <rPr>
            <sz val="10"/>
            <color rgb="FF000000"/>
            <rFont val="Arial"/>
            <scheme val="minor"/>
          </rPr>
          <t>6-10 will be present, with some working for the others</t>
        </r>
      </text>
    </comment>
    <comment ref="J6" authorId="0" shapeId="0" xr:uid="{00000000-0006-0000-0200-000016000000}">
      <text>
        <r>
          <rPr>
            <sz val="10"/>
            <color rgb="FF000000"/>
            <rFont val="Arial"/>
            <scheme val="minor"/>
          </rPr>
          <t>Strategically important locations also qualify.</t>
        </r>
      </text>
    </comment>
    <comment ref="N6" authorId="0" shapeId="0" xr:uid="{00000000-0006-0000-0200-000017000000}">
      <text>
        <r>
          <rPr>
            <sz val="10"/>
            <color rgb="FF000000"/>
            <rFont val="Arial"/>
            <scheme val="minor"/>
          </rPr>
          <t>1 per 200</t>
        </r>
      </text>
    </comment>
    <comment ref="Q6" authorId="0" shapeId="0" xr:uid="{00000000-0006-0000-0200-000018000000}">
      <text>
        <r>
          <rPr>
            <sz val="10"/>
            <color rgb="FF000000"/>
            <rFont val="Arial"/>
            <scheme val="minor"/>
          </rPr>
          <t>Only one present. Note that this individual may not be able to actually read.</t>
        </r>
      </text>
    </comment>
    <comment ref="S6" authorId="0" shapeId="0" xr:uid="{00000000-0006-0000-0200-000019000000}">
      <text>
        <r>
          <rPr>
            <sz val="10"/>
            <color rgb="FF000000"/>
            <rFont val="Arial"/>
            <scheme val="minor"/>
          </rPr>
          <t>Two present, with 5-6 clergymen spread between them, along with the appropriate number of acolytes.</t>
        </r>
      </text>
    </comment>
    <comment ref="N7" authorId="0" shapeId="0" xr:uid="{00000000-0006-0000-0200-00001A000000}">
      <text>
        <r>
          <rPr>
            <sz val="10"/>
            <color rgb="FF000000"/>
            <rFont val="Arial"/>
            <scheme val="minor"/>
          </rPr>
          <t>1 per 1,500, with a ratio of 3:1 between brewers and distilleries/wineries; depending on the crop this will vary. Inns and Taverns often brewed for themselves.</t>
        </r>
      </text>
    </comment>
    <comment ref="Q7" authorId="0" shapeId="0" xr:uid="{00000000-0006-0000-0200-00001B000000}">
      <text>
        <r>
          <rPr>
            <sz val="10"/>
            <color rgb="FF000000"/>
            <rFont val="Arial"/>
            <scheme val="minor"/>
          </rPr>
          <t>Only one present. If on a traveled road, tavern may be replaced by an inn, or it may have both.
Period taverns seated about 20 and the bar was the size of a kitchen counter. This does not include shopkeepers who turned out a keg and some chairs at the end of the workday.
Kindly keep in mind that inns of the period were not the large restaurant/hotel combination so common in fantasy; they were essentially glorified boarding houses. If food was served at all, you would be given whatever was in the pot on that particular day.</t>
        </r>
      </text>
    </comment>
    <comment ref="S7" authorId="0" shapeId="0" xr:uid="{00000000-0006-0000-0200-00001C000000}">
      <text>
        <r>
          <rPr>
            <sz val="10"/>
            <color rgb="FF000000"/>
            <rFont val="Arial"/>
            <scheme val="minor"/>
          </rPr>
          <t>Three present. Could also include herbalists or physicians. Certain cultures would see the local priests taking these roles.</t>
        </r>
      </text>
    </comment>
    <comment ref="J8" authorId="0" shapeId="0" xr:uid="{00000000-0006-0000-0200-00001D000000}">
      <text>
        <r>
          <rPr>
            <sz val="10"/>
            <color rgb="FF000000"/>
            <rFont val="Arial"/>
            <scheme val="minor"/>
          </rPr>
          <t>Strategically important locations also qualify.</t>
        </r>
      </text>
    </comment>
    <comment ref="N8" authorId="0" shapeId="0" xr:uid="{00000000-0006-0000-0200-00001E000000}">
      <text>
        <r>
          <rPr>
            <sz val="10"/>
            <color rgb="FF000000"/>
            <rFont val="Arial"/>
            <scheme val="minor"/>
          </rPr>
          <t>1 per 800</t>
        </r>
      </text>
    </comment>
    <comment ref="Q8" authorId="0" shapeId="0" xr:uid="{00000000-0006-0000-0200-00001F000000}">
      <text>
        <r>
          <rPr>
            <sz val="10"/>
            <color rgb="FF000000"/>
            <rFont val="Arial"/>
            <scheme val="minor"/>
          </rPr>
          <t>Only one gristmill will be present, most likely being built of mixed stone and timber. This will be owned by the landowner or Church, who usually will charge a one-time fee and annual rent to use it. The miller will then charge a typical rate of 1/24th of the grain ground. Also keep in mind that mills would specialize separately in flour and malt, as using the same millstone for both would affect product quality.</t>
        </r>
      </text>
    </comment>
    <comment ref="S8" authorId="0" shapeId="0" xr:uid="{00000000-0006-0000-0200-000020000000}">
      <text>
        <r>
          <rPr>
            <sz val="10"/>
            <color rgb="FF000000"/>
            <rFont val="Arial"/>
            <scheme val="minor"/>
          </rPr>
          <t>Two present</t>
        </r>
      </text>
    </comment>
    <comment ref="J9" authorId="0" shapeId="0" xr:uid="{00000000-0006-0000-0200-000021000000}">
      <text>
        <r>
          <rPr>
            <sz val="10"/>
            <color rgb="FF000000"/>
            <rFont val="Arial"/>
            <scheme val="minor"/>
          </rPr>
          <t>Mines also qualify.</t>
        </r>
      </text>
    </comment>
    <comment ref="N9" authorId="0" shapeId="0" xr:uid="{00000000-0006-0000-0200-000022000000}">
      <text>
        <r>
          <rPr>
            <sz val="10"/>
            <color rgb="FF000000"/>
            <rFont val="Arial"/>
            <scheme val="minor"/>
          </rPr>
          <t>1 per 500, with a ratio of 2:1 between general carpenters and specialty craftsmen such as wheelwrights, cartwrights, cabinetmakers, coopers, carvers, etc.</t>
        </r>
      </text>
    </comment>
    <comment ref="Q9" authorId="0" shapeId="0" xr:uid="{00000000-0006-0000-0200-000023000000}">
      <text>
        <r>
          <rPr>
            <sz val="10"/>
            <color rgb="FF000000"/>
            <rFont val="Arial"/>
            <scheme val="minor"/>
          </rPr>
          <t>Only one. As blacksmithing was the fundamental business of medieval society, this will typically be the last removed when lowering population.</t>
        </r>
      </text>
    </comment>
    <comment ref="S9" authorId="0" shapeId="0" xr:uid="{00000000-0006-0000-0200-000024000000}">
      <text>
        <r>
          <rPr>
            <sz val="10"/>
            <color rgb="FF000000"/>
            <rFont val="Arial"/>
            <scheme val="minor"/>
          </rPr>
          <t>1-2 present. Depending on location, may be either/or, or only one type.</t>
        </r>
      </text>
    </comment>
    <comment ref="A10" authorId="0" shapeId="0" xr:uid="{00000000-0006-0000-0200-000025000000}">
      <text>
        <r>
          <rPr>
            <sz val="10"/>
            <color rgb="FF000000"/>
            <rFont val="Arial"/>
            <scheme val="minor"/>
          </rPr>
          <t>Settlements are arranged into tiers of potential growth, with larger settlements requiring more natural resources and more forgiving landscape features in order to exist. See the Tiering Settlements section for more details.</t>
        </r>
      </text>
    </comment>
    <comment ref="N10" authorId="0" shapeId="0" xr:uid="{00000000-0006-0000-0200-000026000000}">
      <text>
        <r>
          <rPr>
            <sz val="10"/>
            <color rgb="FF000000"/>
            <rFont val="Arial"/>
            <scheme val="minor"/>
          </rPr>
          <t>1 per 750</t>
        </r>
      </text>
    </comment>
    <comment ref="Q10" authorId="0" shapeId="0" xr:uid="{00000000-0006-0000-0200-000027000000}">
      <text>
        <r>
          <rPr>
            <sz val="10"/>
            <color rgb="FF000000"/>
            <rFont val="Arial"/>
            <scheme val="minor"/>
          </rPr>
          <t>Only one present</t>
        </r>
      </text>
    </comment>
    <comment ref="S10" authorId="0" shapeId="0" xr:uid="{00000000-0006-0000-0200-000028000000}">
      <text>
        <r>
          <rPr>
            <sz val="10"/>
            <color rgb="FF000000"/>
            <rFont val="Arial"/>
            <scheme val="minor"/>
          </rPr>
          <t>Only one present. Kindly keep in mind that inns of the period were not the large restaurant/hotel combination so common in fantasy; they were essentially glorified boarding houses. If food was served at all, you would be given whatever was in the pot on that particular day.</t>
        </r>
      </text>
    </comment>
    <comment ref="A11" authorId="0" shapeId="0" xr:uid="{00000000-0006-0000-0200-000029000000}">
      <text>
        <r>
          <rPr>
            <sz val="10"/>
            <color rgb="FF000000"/>
            <rFont val="Arial"/>
            <scheme val="minor"/>
          </rPr>
          <t xml:space="preserve">This is comprised of outlaws, traveling merchants, adventurers, isolated families, etc. Note that adventurers, if they exist, will always be a tiny minority of the population. </t>
        </r>
      </text>
    </comment>
    <comment ref="N11" authorId="0" shapeId="0" xr:uid="{00000000-0006-0000-0200-00002A000000}">
      <text>
        <r>
          <rPr>
            <sz val="10"/>
            <color rgb="FF000000"/>
            <rFont val="Arial"/>
            <scheme val="minor"/>
          </rPr>
          <t>1 per 200; this is hugely variable depending on the religiousness of the area.</t>
        </r>
      </text>
    </comment>
    <comment ref="Q11" authorId="0" shapeId="0" xr:uid="{00000000-0006-0000-0200-00002B000000}">
      <text>
        <r>
          <rPr>
            <sz val="10"/>
            <color rgb="FF000000"/>
            <rFont val="Arial"/>
            <scheme val="minor"/>
          </rPr>
          <t xml:space="preserve">2-3 present. Some possibilities are boatwrights, tanners, mining concerns, cartwrights, etc. </t>
        </r>
      </text>
    </comment>
    <comment ref="S11" authorId="0" shapeId="0" xr:uid="{00000000-0006-0000-0200-00002C000000}">
      <text>
        <r>
          <rPr>
            <sz val="10"/>
            <color rgb="FF000000"/>
            <rFont val="Arial"/>
            <scheme val="minor"/>
          </rPr>
          <t>Three present. Period neighborhood taverns seated about 20 and the bar was the size of a kitchen counter, with a clientele exclusively from that block. This does not include shopkeepers who turned out a keg and some chairs at the end of the workday.</t>
        </r>
      </text>
    </comment>
    <comment ref="A12" authorId="0" shapeId="0" xr:uid="{00000000-0006-0000-0200-00002D000000}">
      <text>
        <r>
          <rPr>
            <sz val="10"/>
            <color rgb="FF000000"/>
            <rFont val="Arial"/>
            <scheme val="minor"/>
          </rPr>
          <t>Defined as being 20-1,000 people. Hamlets, rather than being settlement types of their own are instead villages which cultivate orchards.</t>
        </r>
      </text>
    </comment>
    <comment ref="N12" authorId="0" shapeId="0" xr:uid="{00000000-0006-0000-0200-00002E000000}">
      <text>
        <r>
          <rPr>
            <sz val="10"/>
            <color rgb="FF000000"/>
            <rFont val="Arial"/>
            <scheme val="minor"/>
          </rPr>
          <t>1 per 3,000, as a large, industrial-sized operation.</t>
        </r>
      </text>
    </comment>
    <comment ref="S12" authorId="0" shapeId="0" xr:uid="{00000000-0006-0000-0200-00002F000000}">
      <text>
        <r>
          <rPr>
            <sz val="10"/>
            <color rgb="FF000000"/>
            <rFont val="Arial"/>
            <scheme val="minor"/>
          </rPr>
          <t>Only one present.</t>
        </r>
      </text>
    </comment>
    <comment ref="A13" authorId="0" shapeId="0" xr:uid="{00000000-0006-0000-0200-000030000000}">
      <text>
        <r>
          <rPr>
            <sz val="10"/>
            <color rgb="FF000000"/>
            <rFont val="Arial"/>
            <scheme val="minor"/>
          </rPr>
          <t>Population of 1,001-5,000.</t>
        </r>
      </text>
    </comment>
    <comment ref="N13" authorId="0" shapeId="0" xr:uid="{00000000-0006-0000-0200-000031000000}">
      <text>
        <r>
          <rPr>
            <sz val="10"/>
            <color rgb="FF000000"/>
            <rFont val="Arial"/>
            <scheme val="minor"/>
          </rPr>
          <t>1 per 1,000, with a ratio of 2:1 between Money-changers/Lenders and Banks.</t>
        </r>
      </text>
    </comment>
    <comment ref="S13" authorId="0" shapeId="0" xr:uid="{00000000-0006-0000-0200-000032000000}">
      <text>
        <r>
          <rPr>
            <sz val="10"/>
            <color rgb="FF000000"/>
            <rFont val="Arial"/>
            <scheme val="minor"/>
          </rPr>
          <t>Three present, with one being a specialist such as a farrier.</t>
        </r>
      </text>
    </comment>
    <comment ref="A14" authorId="0" shapeId="0" xr:uid="{00000000-0006-0000-0200-000033000000}">
      <text>
        <r>
          <rPr>
            <sz val="10"/>
            <color rgb="FF000000"/>
            <rFont val="Arial"/>
            <scheme val="minor"/>
          </rPr>
          <t>Population of 5,001-14,999.</t>
        </r>
      </text>
    </comment>
    <comment ref="B14" authorId="0" shapeId="0" xr:uid="{00000000-0006-0000-0200-000034000000}">
      <text>
        <r>
          <rPr>
            <sz val="10"/>
            <color rgb="FF000000"/>
            <rFont val="Arial"/>
            <scheme val="minor"/>
          </rPr>
          <t>If 0, ignore population.</t>
        </r>
      </text>
    </comment>
    <comment ref="N14" authorId="0" shapeId="0" xr:uid="{00000000-0006-0000-0200-000035000000}">
      <text>
        <r>
          <rPr>
            <sz val="10"/>
            <color rgb="FF000000"/>
            <rFont val="Arial"/>
            <scheme val="minor"/>
          </rPr>
          <t>1 per 400, when selling fresh in port.</t>
        </r>
      </text>
    </comment>
    <comment ref="S14" authorId="0" shapeId="0" xr:uid="{00000000-0006-0000-0200-000036000000}">
      <text>
        <r>
          <rPr>
            <sz val="10"/>
            <color rgb="FF000000"/>
            <rFont val="Arial"/>
            <scheme val="minor"/>
          </rPr>
          <t>Only one present.</t>
        </r>
      </text>
    </comment>
    <comment ref="A15" authorId="0" shapeId="0" xr:uid="{00000000-0006-0000-0200-000037000000}">
      <text>
        <r>
          <rPr>
            <sz val="10"/>
            <color rgb="FF000000"/>
            <rFont val="Arial"/>
            <scheme val="minor"/>
          </rPr>
          <t>Population of 15,000+.</t>
        </r>
      </text>
    </comment>
    <comment ref="B15" authorId="0" shapeId="0" xr:uid="{00000000-0006-0000-0200-000038000000}">
      <text>
        <r>
          <rPr>
            <sz val="10"/>
            <color rgb="FF000000"/>
            <rFont val="Arial"/>
            <scheme val="minor"/>
          </rPr>
          <t>If 0, ignore population.</t>
        </r>
      </text>
    </comment>
    <comment ref="N15" authorId="0" shapeId="0" xr:uid="{00000000-0006-0000-0200-000039000000}">
      <text>
        <r>
          <rPr>
            <sz val="10"/>
            <color rgb="FF000000"/>
            <rFont val="Arial"/>
            <scheme val="minor"/>
          </rPr>
          <t>1 per 1,200, when selling inland, and will be dried or salted.</t>
        </r>
      </text>
    </comment>
    <comment ref="S15" authorId="0" shapeId="0" xr:uid="{00000000-0006-0000-0200-00003A000000}">
      <text>
        <r>
          <rPr>
            <sz val="10"/>
            <color rgb="FF000000"/>
            <rFont val="Arial"/>
            <scheme val="minor"/>
          </rPr>
          <t>Three present, with one likely to be a rug/tapestry maker</t>
        </r>
      </text>
    </comment>
    <comment ref="N16" authorId="0" shapeId="0" xr:uid="{00000000-0006-0000-0200-00003B000000}">
      <text>
        <r>
          <rPr>
            <sz val="10"/>
            <color rgb="FF000000"/>
            <rFont val="Arial"/>
            <scheme val="minor"/>
          </rPr>
          <t>1 per 5,000, as a large, industrial-sized operation.</t>
        </r>
      </text>
    </comment>
    <comment ref="S16" authorId="0" shapeId="0" xr:uid="{00000000-0006-0000-0200-00003C000000}">
      <text>
        <r>
          <rPr>
            <sz val="10"/>
            <color rgb="FF000000"/>
            <rFont val="Arial"/>
            <scheme val="minor"/>
          </rPr>
          <t>Only one present.</t>
        </r>
      </text>
    </comment>
    <comment ref="D17" authorId="0" shapeId="0" xr:uid="{00000000-0006-0000-0200-00003D000000}">
      <text>
        <r>
          <rPr>
            <sz val="10"/>
            <color rgb="FF000000"/>
            <rFont val="Arial"/>
            <scheme val="minor"/>
          </rPr>
          <t>These are official institutions with dedicated buildings and administration. Generally these will start to appear in cities of 10,000 or more.</t>
        </r>
      </text>
    </comment>
    <comment ref="N17" authorId="0" shapeId="0" xr:uid="{00000000-0006-0000-0200-00003E000000}">
      <text>
        <r>
          <rPr>
            <sz val="10"/>
            <color rgb="FF000000"/>
            <rFont val="Arial"/>
            <scheme val="minor"/>
          </rPr>
          <t>1 per 350, with a ratio of 3:1:1 between Country Stores, Salters/Spice Merchants,  and Brokers/Factors/Large-Scale Shippers.</t>
        </r>
      </text>
    </comment>
    <comment ref="S17" authorId="0" shapeId="0" xr:uid="{00000000-0006-0000-0200-00003F000000}">
      <text>
        <r>
          <rPr>
            <sz val="10"/>
            <color rgb="FF000000"/>
            <rFont val="Arial"/>
            <scheme val="minor"/>
          </rPr>
          <t>4-5 present, with one likely to specialize in a single thing, such as a chandler or outfitter.</t>
        </r>
      </text>
    </comment>
    <comment ref="A18" authorId="0" shapeId="0" xr:uid="{00000000-0006-0000-0200-000040000000}">
      <text>
        <r>
          <rPr>
            <sz val="10"/>
            <color rgb="FF000000"/>
            <rFont val="Arial"/>
            <scheme val="minor"/>
          </rPr>
          <t>This is an easy list of castle types. Castles were often whitewashed and made of either stone or wood, with wood being far more common.</t>
        </r>
      </text>
    </comment>
    <comment ref="D18" authorId="0" shapeId="0" xr:uid="{00000000-0006-0000-0200-000041000000}">
      <text>
        <r>
          <rPr>
            <sz val="10"/>
            <color rgb="FF000000"/>
            <rFont val="Arial"/>
            <scheme val="minor"/>
          </rPr>
          <t>Rather then being the official institutions we are used to today, these are, more or less, a group of educated individuals teaching students in a house or outbuilding.</t>
        </r>
      </text>
    </comment>
    <comment ref="N18" authorId="0" shapeId="0" xr:uid="{00000000-0006-0000-0200-000042000000}">
      <text>
        <r>
          <rPr>
            <sz val="10"/>
            <color rgb="FF000000"/>
            <rFont val="Arial"/>
            <scheme val="minor"/>
          </rPr>
          <t>1 per 200, with a ratio of 5:1 between Taverns and Inns. Period neighborhood taverns seated about 20 and the bar was the size of a kitchen counter, with a clientele exclusively from that block. This does not include shopkeepers who turned out a keg and some chairs at the end of the workday.
Additional, Inns of the period were not the large restaurant/hotel combination so common in fantasy; they were essentially glorified boarding houses. If food was served at all, you would be given whatever was in the pot on that particular day.</t>
        </r>
      </text>
    </comment>
    <comment ref="S18" authorId="0" shapeId="0" xr:uid="{00000000-0006-0000-0200-000043000000}">
      <text>
        <r>
          <rPr>
            <sz val="10"/>
            <color rgb="FF000000"/>
            <rFont val="Arial"/>
            <scheme val="minor"/>
          </rPr>
          <t>2-3 gristmills present, most likely being built of mixed stone and timber. This will be owned by the landowner or Church, who usually will charge a one-time fee along with an annual rent. The miller will then charge a typical rate of 1/24th of the grain ground. Also keep in mind that mills would specialize separately in flour and malt, as using the same millstone for both would affect product quality.</t>
        </r>
      </text>
    </comment>
    <comment ref="A19" authorId="0" shapeId="0" xr:uid="{00000000-0006-0000-0200-000044000000}">
      <text>
        <r>
          <rPr>
            <sz val="10"/>
            <color rgb="FF000000"/>
            <rFont val="Arial"/>
            <scheme val="minor"/>
          </rPr>
          <t>A castle that has an outer wall surrounded by a secondary outer wall. Linked or enclosed castles can also fall under this category.</t>
        </r>
      </text>
    </comment>
    <comment ref="D19" authorId="0" shapeId="0" xr:uid="{00000000-0006-0000-0200-000045000000}">
      <text>
        <r>
          <rPr>
            <sz val="10"/>
            <color rgb="FF000000"/>
            <rFont val="Arial"/>
            <scheme val="minor"/>
          </rPr>
          <t xml:space="preserve">It is important to note that this is a hugely variable number, dependent on a laundry list of factors too numerous to be listed here. As a result, this is simply an extremely rough estimate, and the true amount likely will be much, much higher than what is presented here. For example, there are well over 1,500 castles in England alone. Some extra variables to consider are the strength of the central government, proximity to a contested border, and frequency of feuding between noble families. </t>
        </r>
      </text>
    </comment>
    <comment ref="N19" authorId="0" shapeId="0" xr:uid="{00000000-0006-0000-0200-000046000000}">
      <text>
        <r>
          <rPr>
            <sz val="10"/>
            <color rgb="FF000000"/>
            <rFont val="Arial"/>
            <scheme val="minor"/>
          </rPr>
          <t>1 per 500, with a ratio of 2:1 between general leather-workers and specialty craftsmen such as cobblers, saddlers, etc.</t>
        </r>
      </text>
    </comment>
    <comment ref="S19" authorId="0" shapeId="0" xr:uid="{00000000-0006-0000-0200-000047000000}">
      <text>
        <r>
          <rPr>
            <sz val="10"/>
            <color rgb="FF000000"/>
            <rFont val="Arial"/>
            <scheme val="minor"/>
          </rPr>
          <t>Only one present, with this being a large-scale industrial operation.</t>
        </r>
      </text>
    </comment>
    <comment ref="A20" authorId="0" shapeId="0" xr:uid="{00000000-0006-0000-0200-000048000000}">
      <text>
        <r>
          <rPr>
            <sz val="10"/>
            <color rgb="FF000000"/>
            <rFont val="Arial"/>
            <scheme val="minor"/>
          </rPr>
          <t>A castle with a main fortified building that is enclosed by an outer defensive wall. This outer wall can have multiple defensive buildings that link sections of the wall together or can be attached to the inside of the wall. A secondary wall can attach the keep to the outer wall, but the primary defensive building cannot be attached to the outer wall.</t>
        </r>
      </text>
    </comment>
    <comment ref="C20" authorId="0" shapeId="0" xr:uid="{00000000-0006-0000-0200-000049000000}">
      <text>
        <r>
          <rPr>
            <sz val="10"/>
            <color rgb="FF000000"/>
            <rFont val="Arial"/>
            <scheme val="minor"/>
          </rPr>
          <t>Input the number of strategic locations for your region or polity here.</t>
        </r>
      </text>
    </comment>
    <comment ref="D20" authorId="0" shapeId="0" xr:uid="{00000000-0006-0000-0200-00004A000000}">
      <text>
        <r>
          <rPr>
            <sz val="10"/>
            <color rgb="FF000000"/>
            <rFont val="Arial"/>
            <scheme val="minor"/>
          </rPr>
          <t>These will be river crossings, mountain passes, important roads, etc. These will almost always have at least one defending fortification, and, depending on its importance in the defense of the region, will often be owned by the Crown.</t>
        </r>
      </text>
    </comment>
    <comment ref="N20" authorId="0" shapeId="0" xr:uid="{00000000-0006-0000-0200-00004B000000}">
      <text>
        <r>
          <rPr>
            <sz val="10"/>
            <color rgb="FF000000"/>
            <rFont val="Arial"/>
            <scheme val="minor"/>
          </rPr>
          <t>1 per 500, with a ratio of 4:2:1 between Stone-cutters, Masons, and Sculptors.</t>
        </r>
      </text>
    </comment>
    <comment ref="S20" authorId="0" shapeId="0" xr:uid="{00000000-0006-0000-0200-00004C000000}">
      <text>
        <r>
          <rPr>
            <sz val="10"/>
            <color rgb="FF000000"/>
            <rFont val="Arial"/>
            <scheme val="minor"/>
          </rPr>
          <t>1-2 present</t>
        </r>
      </text>
    </comment>
    <comment ref="A21" authorId="0" shapeId="0" xr:uid="{00000000-0006-0000-0200-00004D000000}">
      <text>
        <r>
          <rPr>
            <sz val="10"/>
            <color rgb="FF000000"/>
            <rFont val="Arial"/>
            <scheme val="minor"/>
          </rPr>
          <t>The primary fortified building is separated distinctly from the primary fortified living quarters.</t>
        </r>
      </text>
    </comment>
    <comment ref="N21" authorId="0" shapeId="0" xr:uid="{00000000-0006-0000-0200-00004E000000}">
      <text>
        <r>
          <rPr>
            <sz val="10"/>
            <color rgb="FF000000"/>
            <rFont val="Arial"/>
            <scheme val="minor"/>
          </rPr>
          <t>1 per 600, with a ratio of 3:1 between Gristmills and specialty mills such as Sawmills, Fulling Mills, Hammer Mills, Malt Mills, etc..</t>
        </r>
      </text>
    </comment>
    <comment ref="S21" authorId="0" shapeId="0" xr:uid="{00000000-0006-0000-0200-00004F000000}">
      <text>
        <r>
          <rPr>
            <sz val="10"/>
            <color rgb="FF000000"/>
            <rFont val="Arial"/>
            <scheme val="minor"/>
          </rPr>
          <t>1-2 present</t>
        </r>
      </text>
    </comment>
    <comment ref="A22" authorId="0" shapeId="0" xr:uid="{00000000-0006-0000-0200-000050000000}">
      <text>
        <r>
          <rPr>
            <sz val="10"/>
            <color rgb="FF000000"/>
            <rFont val="Arial"/>
            <scheme val="minor"/>
          </rPr>
          <t>The main fortified building as well as most, if not all, of the secondary fortified buildings form a part of the outer defensive wall or link it together.</t>
        </r>
      </text>
    </comment>
    <comment ref="N22" authorId="0" shapeId="0" xr:uid="{00000000-0006-0000-0200-000051000000}">
      <text>
        <r>
          <rPr>
            <sz val="10"/>
            <color rgb="FF000000"/>
            <rFont val="Arial"/>
            <scheme val="minor"/>
          </rPr>
          <t>1 per 500, with a ratio of 4:1 between potters and glaziers/glassblowers.</t>
        </r>
      </text>
    </comment>
    <comment ref="S22" authorId="0" shapeId="0" xr:uid="{00000000-0006-0000-0200-000052000000}">
      <text>
        <r>
          <rPr>
            <sz val="10"/>
            <color rgb="FF000000"/>
            <rFont val="Arial"/>
            <scheme val="minor"/>
          </rPr>
          <t>Only one present</t>
        </r>
      </text>
    </comment>
    <comment ref="A23" authorId="0" shapeId="0" xr:uid="{00000000-0006-0000-0200-000053000000}">
      <text>
        <r>
          <rPr>
            <sz val="10"/>
            <color rgb="FF000000"/>
            <rFont val="Arial"/>
            <scheme val="minor"/>
          </rPr>
          <t>Contains multiple separate baileys/wards. These wards are separate to or outside the main ward, and one needs to move through one of these separate wards to get to the primary one.</t>
        </r>
      </text>
    </comment>
    <comment ref="N23" authorId="0" shapeId="0" xr:uid="{00000000-0006-0000-0200-000054000000}">
      <text>
        <r>
          <rPr>
            <sz val="10"/>
            <color rgb="FF000000"/>
            <rFont val="Arial"/>
            <scheme val="minor"/>
          </rPr>
          <t>1 per 150, with a ratio of 5:2:1 between Scribes, Notaries, and Lawyers.</t>
        </r>
      </text>
    </comment>
    <comment ref="S23" authorId="0" shapeId="0" xr:uid="{00000000-0006-0000-0200-000055000000}">
      <text>
        <r>
          <rPr>
            <sz val="10"/>
            <color rgb="FF000000"/>
            <rFont val="Arial"/>
            <scheme val="minor"/>
          </rPr>
          <t>1-2 present</t>
        </r>
      </text>
    </comment>
    <comment ref="A24" authorId="0" shapeId="0" xr:uid="{00000000-0006-0000-0200-000056000000}">
      <text>
        <r>
          <rPr>
            <sz val="10"/>
            <color rgb="FF000000"/>
            <rFont val="Arial"/>
            <scheme val="minor"/>
          </rPr>
          <t>Consists of a wall linked together by large towers. Can have internal smaller buildings attached to the outer wall, but primary fortified buildings are the towers linking the walls together.</t>
        </r>
      </text>
    </comment>
    <comment ref="N24" authorId="0" shapeId="0" xr:uid="{00000000-0006-0000-0200-000057000000}">
      <text>
        <r>
          <rPr>
            <sz val="10"/>
            <color rgb="FF000000"/>
            <rFont val="Arial"/>
            <scheme val="minor"/>
          </rPr>
          <t>1 per 500, with a ratio of 4:1 between Blacksmiths and Specialty Craftsmen such as Silversmiths, tinsmiths, farriers, armorers, Nail-smiths, etc.</t>
        </r>
      </text>
    </comment>
    <comment ref="S24" authorId="0" shapeId="0" xr:uid="{00000000-0006-0000-0200-000058000000}">
      <text>
        <r>
          <rPr>
            <sz val="10"/>
            <color rgb="FF000000"/>
            <rFont val="Arial"/>
            <scheme val="minor"/>
          </rPr>
          <t xml:space="preserve">7-8 present.
Possibilities:
Common: Stables, Brothels, Roper, Herbalist/Apothecaries, Barber-Surgeon, Lamp-makers, Painters, Sharpeners, Thatchers, etc.
Less Common: Bowyers/Fletchers, Ship’s Chandlers, Candle-makers, Horse-Trainers, Jewelers, Outfitters, Pawnshops, Soap-makers, Undertakers, Messengers, etc.
Rare: Gaming-Houses, Perfumers, Paper-Makers, Seers, Engravers, Clock-makers, Animal Trainers, Architects, Cartographers, Engineers, Instrument Makers, etc. </t>
        </r>
      </text>
    </comment>
    <comment ref="A25" authorId="0" shapeId="0" xr:uid="{00000000-0006-0000-0200-000059000000}">
      <text>
        <r>
          <rPr>
            <sz val="10"/>
            <color rgb="FF000000"/>
            <rFont val="Arial"/>
            <scheme val="minor"/>
          </rPr>
          <t>A fortified defensive building without an outer wall to protect it.</t>
        </r>
      </text>
    </comment>
    <comment ref="N25" authorId="0" shapeId="0" xr:uid="{00000000-0006-0000-0200-00005A000000}">
      <text>
        <r>
          <rPr>
            <sz val="10"/>
            <color rgb="FF000000"/>
            <rFont val="Arial"/>
            <scheme val="minor"/>
          </rPr>
          <t>1 per 3,500, as a large, industrial-sized operation.</t>
        </r>
      </text>
    </comment>
    <comment ref="N26" authorId="0" shapeId="0" xr:uid="{00000000-0006-0000-0200-00005B000000}">
      <text>
        <r>
          <rPr>
            <sz val="10"/>
            <color rgb="FF000000"/>
            <rFont val="Arial"/>
            <scheme val="minor"/>
          </rPr>
          <t>1 per 200, with a 4-5:1 ratio between teaching and non-teaching. Non-teaching scholars may still teach part-time to raise funds.</t>
        </r>
      </text>
    </comment>
    <comment ref="N27" authorId="0" shapeId="0" xr:uid="{00000000-0006-0000-0200-00005C000000}">
      <text>
        <r>
          <rPr>
            <sz val="10"/>
            <color rgb="FF000000"/>
            <rFont val="Arial"/>
            <scheme val="minor"/>
          </rPr>
          <t>1 per 100, with a ratio of 3:1:1 between weavers/spinners/carders, Tailors/Carpet-Makers/Tapestry-Makers, and Furriers. Towns over 1,500 probably have at least 1 large-scale cloth manufactory.</t>
        </r>
      </text>
    </comment>
    <comment ref="N28" authorId="0" shapeId="0" xr:uid="{00000000-0006-0000-0200-00005D000000}">
      <text>
        <r>
          <rPr>
            <sz val="10"/>
            <color rgb="FF000000"/>
            <rFont val="Arial"/>
            <scheme val="minor"/>
          </rPr>
          <t xml:space="preserve">1 per 200
Possibilities:
Common: Stables, Brothels, Roper, Herbalist/Apothecaries, Barber-Surgeon, Lamp-makers, Painters, Sharpeners, Thatchers, etc.
Less Common: Bowyers/Fletchers, Ship’s Chandlers, Candle-makers, Horse-Trainers, Jewelers, Outfitters, Pawnshops, Soap-makers, Undertakers, Messengers, etc.
Rare: Gaming-Houses, Perfumers, Paper-Makers, Seers, Engravers, Clock-makers, Animal Trainers, Architects, Cartographers, Engineers, Instrument Makers, etc.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All movements are in distance per eight hours of travel, with the rightmost number being in metric. Generally this is the distance you would travel in a normal day with good weather, and things such as rests and meal breaks are included in this. Numbers have been taken from the 1st edition AD&amp;D Wilderness Survival Guide, and have not been changed.</t>
        </r>
      </text>
    </comment>
    <comment ref="S1" authorId="0" shapeId="0" xr:uid="{00000000-0006-0000-0300-000002000000}">
      <text>
        <r>
          <rPr>
            <sz val="10"/>
            <color rgb="FF000000"/>
            <rFont val="Arial"/>
            <scheme val="minor"/>
          </rPr>
          <t>Vehicles cannot be driven over Very Rugged Terrain.</t>
        </r>
      </text>
    </comment>
    <comment ref="Z1" authorId="0" shapeId="0" xr:uid="{00000000-0006-0000-0300-000003000000}">
      <text>
        <r>
          <rPr>
            <sz val="10"/>
            <color rgb="FF000000"/>
            <rFont val="Arial"/>
            <scheme val="minor"/>
          </rPr>
          <t>Wind Speed 0-10</t>
        </r>
      </text>
    </comment>
    <comment ref="A2" authorId="0" shapeId="0" xr:uid="{00000000-0006-0000-0300-000004000000}">
      <text>
        <r>
          <rPr>
            <sz val="10"/>
            <color rgb="FF000000"/>
            <rFont val="Arial"/>
            <scheme val="minor"/>
          </rPr>
          <t>Distance traveled by walking at normal speed.</t>
        </r>
      </text>
    </comment>
    <comment ref="Z2" authorId="0" shapeId="0" xr:uid="{00000000-0006-0000-0300-000005000000}">
      <text>
        <r>
          <rPr>
            <sz val="10"/>
            <color rgb="FF000000"/>
            <rFont val="Arial"/>
            <scheme val="minor"/>
          </rPr>
          <t>Wind Speed 11-20</t>
        </r>
      </text>
    </comment>
    <comment ref="J3" authorId="0" shapeId="0" xr:uid="{00000000-0006-0000-0300-000006000000}">
      <text>
        <r>
          <rPr>
            <sz val="10"/>
            <color rgb="FF000000"/>
            <rFont val="Arial"/>
            <scheme val="minor"/>
          </rPr>
          <t>Defined as flat plains, gently rolling hills, light forest, and/or roads passing through normal or rugged terrain.</t>
        </r>
      </text>
    </comment>
    <comment ref="L3" authorId="0" shapeId="0" xr:uid="{00000000-0006-0000-0300-000007000000}">
      <text>
        <r>
          <rPr>
            <sz val="10"/>
            <color rgb="FF000000"/>
            <rFont val="Arial"/>
            <scheme val="minor"/>
          </rPr>
          <t>Defined as uneven ground, sharply sloping hills, moderate forest, normal terrain with 5-10 inches of snow, and/or roads passing through very rugged terrain.</t>
        </r>
      </text>
    </comment>
    <comment ref="N3" authorId="0" shapeId="0" xr:uid="{00000000-0006-0000-0300-000008000000}">
      <text>
        <r>
          <rPr>
            <sz val="10"/>
            <color rgb="FF000000"/>
            <rFont val="Arial"/>
            <scheme val="minor"/>
          </rPr>
          <t>Defined as mountains, thick forest, swamps/bogs, normal terrain with 10+ inches of snow, and/or rugged terrain with 5+ inches of snow.</t>
        </r>
      </text>
    </comment>
    <comment ref="T3" authorId="0" shapeId="0" xr:uid="{00000000-0006-0000-0300-000009000000}">
      <text>
        <r>
          <rPr>
            <sz val="10"/>
            <color rgb="FF000000"/>
            <rFont val="Arial"/>
            <scheme val="minor"/>
          </rPr>
          <t>Defined as flat plains, gently rolling hills, light forest, and/or roads passing through normal or rugged terrain.</t>
        </r>
      </text>
    </comment>
    <comment ref="V3" authorId="0" shapeId="0" xr:uid="{00000000-0006-0000-0300-00000A000000}">
      <text>
        <r>
          <rPr>
            <sz val="10"/>
            <color rgb="FF000000"/>
            <rFont val="Arial"/>
            <scheme val="minor"/>
          </rPr>
          <t>Defined as uneven ground, sharply sloping hills, moderate forest, normal terrain with 5-10 inches of snow, and/or roads passing through very rugged terrain.</t>
        </r>
      </text>
    </comment>
    <comment ref="Z3" authorId="0" shapeId="0" xr:uid="{00000000-0006-0000-0300-00000B000000}">
      <text>
        <r>
          <rPr>
            <sz val="10"/>
            <color rgb="FF000000"/>
            <rFont val="Arial"/>
            <scheme val="minor"/>
          </rPr>
          <t>Wind Speed 21-30</t>
        </r>
      </text>
    </comment>
    <comment ref="B4" authorId="0" shapeId="0" xr:uid="{00000000-0006-0000-0300-00000C000000}">
      <text>
        <r>
          <rPr>
            <sz val="10"/>
            <color rgb="FF000000"/>
            <rFont val="Arial"/>
            <scheme val="minor"/>
          </rPr>
          <t>Defined as flat plains, gently rolling hills, light forest, and/or roads passing through normal or rugged terrain.</t>
        </r>
      </text>
    </comment>
    <comment ref="D4" authorId="0" shapeId="0" xr:uid="{00000000-0006-0000-0300-00000D000000}">
      <text>
        <r>
          <rPr>
            <sz val="10"/>
            <color rgb="FF000000"/>
            <rFont val="Arial"/>
            <scheme val="minor"/>
          </rPr>
          <t>Defined as uneven ground, sharply sloping hills, moderate forest, normal terrain with 5-10 inches of snow, and/or roads passing through very rugged terrain.</t>
        </r>
      </text>
    </comment>
    <comment ref="F4" authorId="0" shapeId="0" xr:uid="{00000000-0006-0000-0300-00000E000000}">
      <text>
        <r>
          <rPr>
            <sz val="10"/>
            <color rgb="FF000000"/>
            <rFont val="Arial"/>
            <scheme val="minor"/>
          </rPr>
          <t>Defined as mountains, thick forest, swamps/bogs, normal terrain with 10+ inches of snow, and/or rugged terrain with 5+ inches of snow.</t>
        </r>
      </text>
    </comment>
    <comment ref="Z4" authorId="0" shapeId="0" xr:uid="{00000000-0006-0000-0300-00000F000000}">
      <text>
        <r>
          <rPr>
            <sz val="10"/>
            <color rgb="FF000000"/>
            <rFont val="Arial"/>
            <scheme val="minor"/>
          </rPr>
          <t>Wind Speed 31-45</t>
        </r>
      </text>
    </comment>
    <comment ref="Z5" authorId="0" shapeId="0" xr:uid="{00000000-0006-0000-0300-000010000000}">
      <text>
        <r>
          <rPr>
            <sz val="10"/>
            <color rgb="FF000000"/>
            <rFont val="Arial"/>
            <scheme val="minor"/>
          </rPr>
          <t>Wind Speed 46-79</t>
        </r>
      </text>
    </comment>
    <comment ref="Z6" authorId="0" shapeId="0" xr:uid="{00000000-0006-0000-0300-000011000000}">
      <text>
        <r>
          <rPr>
            <sz val="10"/>
            <color rgb="FF000000"/>
            <rFont val="Arial"/>
            <scheme val="minor"/>
          </rPr>
          <t>Wind Speed 80+</t>
        </r>
      </text>
    </comment>
    <comment ref="Z8" authorId="0" shapeId="0" xr:uid="{00000000-0006-0000-0300-000012000000}">
      <text>
        <r>
          <rPr>
            <sz val="10"/>
            <color rgb="FF000000"/>
            <rFont val="Arial"/>
            <scheme val="minor"/>
          </rPr>
          <t>Moderate Rainfall</t>
        </r>
      </text>
    </comment>
    <comment ref="Z9" authorId="0" shapeId="0" xr:uid="{00000000-0006-0000-0300-000013000000}">
      <text>
        <r>
          <rPr>
            <sz val="10"/>
            <color rgb="FF000000"/>
            <rFont val="Arial"/>
            <scheme val="minor"/>
          </rPr>
          <t>Heavy Rainfall</t>
        </r>
      </text>
    </comment>
    <comment ref="Z11" authorId="0" shapeId="0" xr:uid="{00000000-0006-0000-0300-000014000000}">
      <text>
        <r>
          <rPr>
            <sz val="10"/>
            <color rgb="FF000000"/>
            <rFont val="Arial"/>
            <scheme val="minor"/>
          </rPr>
          <t>Wind Speed Total</t>
        </r>
      </text>
    </comment>
    <comment ref="Z12" authorId="0" shapeId="0" xr:uid="{00000000-0006-0000-0300-000015000000}">
      <text>
        <r>
          <rPr>
            <sz val="10"/>
            <color rgb="FF000000"/>
            <rFont val="Arial"/>
            <scheme val="minor"/>
          </rPr>
          <t>Rain Modifier</t>
        </r>
      </text>
    </comment>
    <comment ref="I13" authorId="0" shapeId="0" xr:uid="{00000000-0006-0000-0300-000016000000}">
      <text>
        <r>
          <rPr>
            <sz val="10"/>
            <color rgb="FF000000"/>
            <rFont val="Arial"/>
            <scheme val="minor"/>
          </rPr>
          <t>If there is moderate precipitation, move down 1 stage.
If precipitation is heavy, move down 2.</t>
        </r>
      </text>
    </comment>
    <comment ref="Z13" authorId="0" shapeId="0" xr:uid="{00000000-0006-0000-0300-000017000000}">
      <text>
        <r>
          <rPr>
            <sz val="10"/>
            <color rgb="FF000000"/>
            <rFont val="Arial"/>
            <scheme val="minor"/>
          </rPr>
          <t>Total Travel Modifier</t>
        </r>
      </text>
    </comment>
    <comment ref="I14" authorId="0" shapeId="0" xr:uid="{00000000-0006-0000-0300-000018000000}">
      <text>
        <r>
          <rPr>
            <sz val="10"/>
            <color rgb="FF000000"/>
            <rFont val="Arial"/>
            <scheme val="minor"/>
          </rPr>
          <t>In mph. Only check one box</t>
        </r>
      </text>
    </comment>
    <comment ref="K14" authorId="0" shapeId="0" xr:uid="{00000000-0006-0000-0300-000019000000}">
      <text>
        <r>
          <rPr>
            <sz val="10"/>
            <color rgb="FF000000"/>
            <rFont val="Arial"/>
            <scheme val="minor"/>
          </rPr>
          <t>Only check one box</t>
        </r>
      </text>
    </comment>
    <comment ref="Z15" authorId="0" shapeId="0" xr:uid="{00000000-0006-0000-0300-00001A000000}">
      <text>
        <r>
          <rPr>
            <sz val="10"/>
            <color rgb="FF000000"/>
            <rFont val="Arial"/>
            <scheme val="minor"/>
          </rPr>
          <t>21-30 mph modifier</t>
        </r>
      </text>
    </comment>
    <comment ref="Z16" authorId="0" shapeId="0" xr:uid="{00000000-0006-0000-0300-00001B000000}">
      <text>
        <r>
          <rPr>
            <sz val="10"/>
            <color rgb="FF000000"/>
            <rFont val="Arial"/>
            <scheme val="minor"/>
          </rPr>
          <t>31-45 mph modifier</t>
        </r>
      </text>
    </comment>
    <comment ref="Z17" authorId="0" shapeId="0" xr:uid="{00000000-0006-0000-0300-00001C000000}">
      <text>
        <r>
          <rPr>
            <sz val="10"/>
            <color rgb="FF000000"/>
            <rFont val="Arial"/>
            <scheme val="minor"/>
          </rPr>
          <t>46-79 mph modifier</t>
        </r>
      </text>
    </comment>
    <comment ref="Z18" authorId="0" shapeId="0" xr:uid="{00000000-0006-0000-0300-00001D000000}">
      <text>
        <r>
          <rPr>
            <sz val="10"/>
            <color rgb="FF000000"/>
            <rFont val="Arial"/>
            <scheme val="minor"/>
          </rPr>
          <t>80+ mph modifier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scheme val="minor"/>
          </rPr>
          <t>Kindly note that these formulas are purely experimental, and there is no guarantee that the numbers are accurate or even plausible. As they are for my personal use, it is recommended that you adapt them for your own usage.
Using these is by no means necessary, and is not heavily recommended.</t>
        </r>
      </text>
    </comment>
    <comment ref="E2" authorId="0" shapeId="0" xr:uid="{00000000-0006-0000-0400-000002000000}">
      <text>
        <r>
          <rPr>
            <sz val="10"/>
            <color rgb="FF000000"/>
            <rFont val="Arial"/>
            <scheme val="minor"/>
          </rPr>
          <t>This is the amount of water that is flowing into the river section that is being calculated, given in cubic meters.
Input the selected value in the green cell below, or leave blank if none.</t>
        </r>
      </text>
    </comment>
    <comment ref="F2" authorId="0" shapeId="0" xr:uid="{00000000-0006-0000-0400-000003000000}">
      <text>
        <r>
          <rPr>
            <sz val="10"/>
            <color rgb="FF000000"/>
            <rFont val="Arial"/>
            <scheme val="minor"/>
          </rPr>
          <t>This is the total average amount of precipitation in a selected area over the course of a year.
Input the selected value in the green cell below.</t>
        </r>
      </text>
    </comment>
    <comment ref="A4" authorId="0" shapeId="0" xr:uid="{00000000-0006-0000-0400-000004000000}">
      <text>
        <r>
          <rPr>
            <sz val="10"/>
            <color rgb="FF000000"/>
            <rFont val="Arial"/>
            <scheme val="minor"/>
          </rPr>
          <t>This is the total population of a smaller segment of a kingdom or polity, such as a Dukedom.
Input the value into the green cell below.</t>
        </r>
      </text>
    </comment>
    <comment ref="E4" authorId="0" shapeId="0" xr:uid="{00000000-0006-0000-0400-000005000000}">
      <text>
        <r>
          <rPr>
            <sz val="10"/>
            <color rgb="FF000000"/>
            <rFont val="Arial"/>
            <scheme val="minor"/>
          </rPr>
          <t>Stream gradient = difference in elevation ÷ river distance. In other words, Elevation Fall over River Run.
You do not need to change this value as it will be done automatically.</t>
        </r>
      </text>
    </comment>
    <comment ref="F4" authorId="0" shapeId="0" xr:uid="{00000000-0006-0000-0400-000006000000}">
      <text>
        <r>
          <rPr>
            <sz val="10"/>
            <color rgb="FF000000"/>
            <rFont val="Arial"/>
            <scheme val="minor"/>
          </rPr>
          <t>This is the total difference in elevation for the course of the river section which is being calculated, given in feet.
Input the selected value in the green cell below.</t>
        </r>
      </text>
    </comment>
    <comment ref="G4" authorId="0" shapeId="0" xr:uid="{00000000-0006-0000-0400-000007000000}">
      <text>
        <r>
          <rPr>
            <sz val="10"/>
            <color rgb="FF000000"/>
            <rFont val="Arial"/>
            <scheme val="minor"/>
          </rPr>
          <t>This is the current or desired length of the river to be calculated. Before using, the number must be manually set in the In km formula, in miles. In this example, 16=12 miles in length. Alternatively put, a value of 1=0.75 miles.</t>
        </r>
      </text>
    </comment>
    <comment ref="A6" authorId="0" shapeId="0" xr:uid="{00000000-0006-0000-0400-000008000000}">
      <text>
        <r>
          <rPr>
            <sz val="10"/>
            <color rgb="FF000000"/>
            <rFont val="Arial"/>
            <scheme val="minor"/>
          </rPr>
          <t>This is the number of villages with a population at or above 450 in a smaller segment of a kingdom or polity, such as a Dukedom.
Input the value into the green cell below.</t>
        </r>
      </text>
    </comment>
    <comment ref="E6" authorId="0" shapeId="0" xr:uid="{00000000-0006-0000-0400-000009000000}">
      <text>
        <r>
          <rPr>
            <sz val="10"/>
            <color rgb="FF000000"/>
            <rFont val="Arial"/>
            <scheme val="minor"/>
          </rPr>
          <t>This is the total amount of pixels which are selected from the image area which will be calculated. Before giving this number, you must manually set the Area formula by calculating the number of pixels per square mile in your map image. In this example, 1 pixel is 165 feet to a side, or 27,225 feet in area.</t>
        </r>
      </text>
    </comment>
    <comment ref="A8" authorId="0" shapeId="0" xr:uid="{00000000-0006-0000-0400-00000A000000}">
      <text>
        <r>
          <rPr>
            <sz val="10"/>
            <color rgb="FF000000"/>
            <rFont val="Arial"/>
            <scheme val="minor"/>
          </rPr>
          <t>This is the total urban population within a smaller segment of a kingdom or polity, such as a Dukedom.
Input the value into the green cell below. If there is no urban population, leave blank.</t>
        </r>
      </text>
    </comment>
    <comment ref="B8" authorId="0" shapeId="0" xr:uid="{00000000-0006-0000-0400-00000B000000}">
      <text>
        <r>
          <rPr>
            <sz val="10"/>
            <color rgb="FF000000"/>
            <rFont val="Arial"/>
            <scheme val="minor"/>
          </rPr>
          <t>The total percent of the population dedicated to warfare. Any greater than 6-7% will cause famine at home.</t>
        </r>
      </text>
    </comment>
    <comment ref="E9" authorId="0" shapeId="0" xr:uid="{00000000-0006-0000-0400-00000C000000}">
      <text>
        <r>
          <rPr>
            <sz val="10"/>
            <color rgb="FF000000"/>
            <rFont val="Arial"/>
            <scheme val="minor"/>
          </rPr>
          <t>These are used when you need to know what type of terrain your river is passing through. Keep an eye on this when you are trying to find the correct width and depth of your river.</t>
        </r>
      </text>
    </comment>
    <comment ref="F9" authorId="0" shapeId="0" xr:uid="{00000000-0006-0000-0400-00000D000000}">
      <text>
        <r>
          <rPr>
            <sz val="10"/>
            <color rgb="FF000000"/>
            <rFont val="Arial"/>
            <scheme val="minor"/>
          </rPr>
          <t>How fast your river is moving, in meters per second.</t>
        </r>
      </text>
    </comment>
    <comment ref="G9" authorId="0" shapeId="0" xr:uid="{00000000-0006-0000-0400-00000E000000}">
      <text>
        <r>
          <rPr>
            <sz val="10"/>
            <color rgb="FF000000"/>
            <rFont val="Arial"/>
            <scheme val="minor"/>
          </rPr>
          <t>How fast your river is moving, in miles per hour.</t>
        </r>
      </text>
    </comment>
    <comment ref="H9" authorId="0" shapeId="0" xr:uid="{00000000-0006-0000-0400-00000F000000}">
      <text>
        <r>
          <rPr>
            <sz val="10"/>
            <color rgb="FF000000"/>
            <rFont val="Arial"/>
            <scheme val="minor"/>
          </rPr>
          <t>How much water is flowing out of your calculated section, in cubic meters.</t>
        </r>
      </text>
    </comment>
    <comment ref="I9" authorId="0" shapeId="0" xr:uid="{00000000-0006-0000-0400-000010000000}">
      <text>
        <r>
          <rPr>
            <sz val="10"/>
            <color rgb="FF000000"/>
            <rFont val="Arial"/>
            <scheme val="minor"/>
          </rPr>
          <t>How much water is flowing out of your calculated section, in cubic feet.</t>
        </r>
      </text>
    </comment>
    <comment ref="J9" authorId="0" shapeId="0" xr:uid="{00000000-0006-0000-0400-000011000000}">
      <text>
        <r>
          <rPr>
            <sz val="10"/>
            <color rgb="FF000000"/>
            <rFont val="Arial"/>
            <scheme val="minor"/>
          </rPr>
          <t>This is used to check to see how close to correct your width and depth is, and should be as close to 0 as possible. When checking, make sure to keep an eye on the type of terrain you want your river flowing through, which is shown in the Outflow Friction Types Subsection to the left.</t>
        </r>
      </text>
    </comment>
    <comment ref="E16" authorId="0" shapeId="0" xr:uid="{00000000-0006-0000-0400-000012000000}">
      <text>
        <r>
          <rPr>
            <sz val="10"/>
            <color rgb="FF000000"/>
            <rFont val="Arial"/>
            <scheme val="minor"/>
          </rPr>
          <t>Farmland</t>
        </r>
      </text>
    </comment>
    <comment ref="E17" authorId="0" shapeId="0" xr:uid="{00000000-0006-0000-0400-000013000000}">
      <text>
        <r>
          <rPr>
            <sz val="10"/>
            <color rgb="FF000000"/>
            <rFont val="Arial"/>
            <scheme val="minor"/>
          </rPr>
          <t>Small bushes</t>
        </r>
      </text>
    </comment>
    <comment ref="E18" authorId="0" shapeId="0" xr:uid="{00000000-0006-0000-0400-000014000000}">
      <text>
        <r>
          <rPr>
            <sz val="10"/>
            <color rgb="FF000000"/>
            <rFont val="Arial"/>
            <scheme val="minor"/>
          </rPr>
          <t>With trees</t>
        </r>
      </text>
    </comment>
    <comment ref="H19" authorId="0" shapeId="0" xr:uid="{00000000-0006-0000-0400-000015000000}">
      <text>
        <r>
          <rPr>
            <sz val="10"/>
            <color rgb="FF000000"/>
            <rFont val="Arial"/>
            <scheme val="minor"/>
          </rPr>
          <t>How wide your river is going to be, given in feet in the green cell, and in inches in the cell below it. You will need to tinker with this value until the Check number is as close to 0 as possible.</t>
        </r>
      </text>
    </comment>
    <comment ref="I19" authorId="0" shapeId="0" xr:uid="{00000000-0006-0000-0400-000016000000}">
      <text>
        <r>
          <rPr>
            <sz val="10"/>
            <color rgb="FF000000"/>
            <rFont val="Arial"/>
            <scheme val="minor"/>
          </rPr>
          <t>1/4 of width, given in feet in the green cell, and in inches in the cell below it.</t>
        </r>
      </text>
    </comment>
    <comment ref="E20" authorId="0" shapeId="0" xr:uid="{00000000-0006-0000-0400-000017000000}">
      <text>
        <r>
          <rPr>
            <sz val="10"/>
            <color rgb="FF000000"/>
            <rFont val="Arial"/>
            <scheme val="minor"/>
          </rPr>
          <t>When rivers combine, the flows simply add together. For example, two rivers each 1 foot wide will merge to become a single river two feet in width. Also understand that lakes are simply reservoirs of water. What goes in must also come out.</t>
        </r>
      </text>
    </comment>
  </commentList>
</comments>
</file>

<file path=xl/sharedStrings.xml><?xml version="1.0" encoding="utf-8"?>
<sst xmlns="http://schemas.openxmlformats.org/spreadsheetml/2006/main" count="277" uniqueCount="201">
  <si>
    <t>This is a Google spreadsheet made specifically to correct the enormous issues of the popular demographics calculator Medieval Demographics Made Easy. This calculator is meant, not simply as a clarification or challenge, but rather a total replacement of Medieval Demographics Made Easy, in order to provide a more accurate way to structure your medieval fantasy world. Primarily, it calculates the various statistics that a kingdom or other fantasy polity will need, such as the number of settlements and what lies within them. Usage is designed to be fairly simple: just input the desired numbers in the green areas and Google Sheets will do the rest. Mouse-over notes are also provided where additional information is needed, and a brief How to Use tutorial is provided on the appropriate sheet. It is highly encouraged that you make a copy for your own purposes, as this is intended to be a living document and things will be subjected to change over time.
For years, Medieval Demographics Made Easy has enjoyed a strong place in the mind of the game-master and world-builder as a useful tool for speeding along the process of kingdom and settlement creation. Unfortunately, it is also near-totally inaccurate in terms of scholarship, and the numbers which are given are wildly out-of-place. The reasons why this is so will be elaborated on in turn, but it is recommended that the reader read Bob Traynor’s blog post on the subject, the links to which are provided at the end of this essay, as his words are simply going to be repeated here; he is far more educated on this subject than I.
The population on where a town officially becomes a city is given as 8,000 people. This number varied wildly throughout Europe during the period of the Middle Ages which is generally portrayed by most fantasy, but generally it was much lower, and what was legally defined as a city was just as varied. For example, most cities in England were given an official charter with a population of 4,500-5,000, and a great number of the “Free Cities” of the Holy Roman Empire had a population of 1,000 or less!
The amount of people able to be fed per square mile of farmland is listed as 180. This is historically an extremely variable number, with the fertility of land being widely variable even within the same kingdom. Some factors which affect this number include, but by no means are limited to, the presence of woodlands, roads, waterways, buildings, too much water, not enough water, too cold, too hilly, no crop rotation, war, drought, and so on. In much of Europe, a quarter of that number was adequate, and if you were getting a third, you were doing quite well. In certain parts of Europe and North Africa with flat, cleared land and two growing seasons, such as the Po Valley and Nile Delta, you could get twice the number given in MDME.
University numbers are additionally excessively low, with a single one present for every 27.3 million people in the region. In 1500, right at the very end of the Middle Ages, Italy had an estimated population of 11 million people, with 20 Universities that are still active today, not including the itinerant colleges which came and went throughout the entire period.
The worst offenders are the numbers for businesses, which are wildly out of place, with certain important businesses such as potters and the various nautical trades being completely omitted.
        Medieval Demographics Made Easy relies on a single source, “1292 Parisian Tax Rolls,” cited at the end of Life in a Medieval City, by Joseph and Frances Gies. This work claims to give a comprehensive list of the 51 separate types of business which existed in Paris at that time. For most of the Middle Ages, Paris was far and away the exception to the rule, being the most populous city in the entire Western World and the capital of their greatest kingdom, containing an estimated population of 200,000 in 1328. A fantasy city of good sizing would be roughly a tenth of that size, much more likely to be on or near the coast, and much less likely to have as many luxury trades.
        Additionally, the list in Life in a Medieval City was very heavily pared down, with the original containing several hundred entries, rather than the 51 the Gies’ provided. As well as making certain errors, such as listing 58 scabbard-makers when there were actually 52, the list which they were working from had been previously edited in the mid-19th century by a historian named Heracles Géraud. The list that Géraud was attempting to create was not a comprehensive list of the occupations of Parisians, but rather a list of individuals whose occupations matched their surnames. If you were a blacksmith by the name of John Smith, for example, you were included, along with Margaret Thatcher, provided she worked as a thatcher. If your name was John Hammer, or Margaret of York, you were not included.
History is a difficult subject, and many sources must be used in order to try and tease out a clear picture of what actually happened during certain events, or to learn what life was like in a particular period. Relying on a single source, especially when it is taken this far out of its context, is simply poor scholarship. The numbers given for the businesses present in settlements come from a number of sources:
Medieval Southampton by Colin Platt
Medieval Trade In The Mediterranean World by Lopez and Raymond
The renowned 14th century The Practice of Commerce by Francesco Pegolotti (Translation by Evans)
The 14th century Palaelogus by Georgios Pachymeres (Translation by Streider)
The Milanese and Genoese 12th century reductions published some years ago in the Journal of Economic and Business History
The 13th century Florentine business list copied from a lovely text in the BPL
The Merchants of Cahors by Denholm-Young
The Medieval City by Norman Pounds (part of the excellent Greenwood Guides to Historic Events of the Medieval World edited by Dr. Jane Chance and published by Greenwood Press, which are strongly recommended)
The wonderful corpus of work of Fernand Braudel.
Additionally, the sources used in other parts of spreadsheet are:
Bob Traynor’s blog posts, linked below
1st edition AD&amp;D Wilderness Survival Guide (For the Overland Travel Speeds Sheet)
An archived version of Building a Realistic Medieval World from the Minecraft forums (Tiering Settlements Section only) (Found here - https://web.archive.org/web/20171003113232/https://www.minecraftforum.net/forums/minecraft-java-edition/discussion/118450-building-a-realistic-medieval-world)
Shadiversity’s video, The Different Types of Medieval Castles (Castle Types Section only)
Cumberland Game’s Fief
The Domesday Book calculator. Based, rather ironically, on MDME. Can be found here - https://www.rpglibrary.org/utils/meddemog/
The Military Forces Section and the River Flow Calculator located in the Experimental tab are not sourced from anything and therefore should not be trusted. They are simply there to provide a self-modifiable calculator for general army sizes and river widths and depths.
Credit is also due to the wonderful people of the Aurora4x Discord, with particular thanks given, in no particular order, to SerBeardian, Breith, Jovus, and Somebody, as well as Doug Cole of Gaming Ballistic.</t>
  </si>
  <si>
    <t>Due to the complexity of this document, it is necessary to provide a small set of instructions for ease of use. To help you along, we will have values already inputted as examples.</t>
  </si>
  <si>
    <r>
      <rPr>
        <sz val="10"/>
        <color theme="1"/>
        <rFont val="Arial"/>
      </rPr>
      <t xml:space="preserve">Cells of </t>
    </r>
    <r>
      <rPr>
        <sz val="10"/>
        <color rgb="FF00FF00"/>
        <rFont val="Arial"/>
      </rPr>
      <t>this color</t>
    </r>
    <r>
      <rPr>
        <sz val="10"/>
        <color theme="1"/>
        <rFont val="Arial"/>
      </rPr>
      <t xml:space="preserve"> are places where information is supposed to be changed</t>
    </r>
  </si>
  <si>
    <r>
      <rPr>
        <sz val="10"/>
        <color theme="1"/>
        <rFont val="Arial"/>
      </rPr>
      <t xml:space="preserve">As you can see, the </t>
    </r>
    <r>
      <rPr>
        <sz val="10"/>
        <color rgb="FF00FF00"/>
        <rFont val="Arial"/>
      </rPr>
      <t>green</t>
    </r>
    <r>
      <rPr>
        <sz val="10"/>
        <color theme="1"/>
        <rFont val="Arial"/>
      </rPr>
      <t xml:space="preserve"> areas have our kingdom values in them.</t>
    </r>
  </si>
  <si>
    <r>
      <rPr>
        <sz val="10"/>
        <color theme="1"/>
        <rFont val="Arial"/>
      </rPr>
      <t xml:space="preserve">The cell under </t>
    </r>
    <r>
      <rPr>
        <sz val="10"/>
        <color rgb="FFEA9999"/>
        <rFont val="Arial"/>
      </rPr>
      <t>Region Name</t>
    </r>
    <r>
      <rPr>
        <sz val="10"/>
        <color theme="1"/>
        <rFont val="Arial"/>
      </rPr>
      <t xml:space="preserve"> header is where you will put the name of your kingdom. Here we have selected a generic name for our example.</t>
    </r>
  </si>
  <si>
    <r>
      <rPr>
        <sz val="10"/>
        <color theme="1"/>
        <rFont val="Arial"/>
      </rPr>
      <t xml:space="preserve">The cell below the </t>
    </r>
    <r>
      <rPr>
        <sz val="10"/>
        <color rgb="FFEA9999"/>
        <rFont val="Arial"/>
      </rPr>
      <t>Pop. Den</t>
    </r>
    <r>
      <rPr>
        <sz val="10"/>
        <color theme="1"/>
        <rFont val="Arial"/>
      </rPr>
      <t xml:space="preserve"> header is where you will input the number of people per square mile in your kingdom or polity. This number cannot be larger than the number of people fed per square mile. For this example we will select 45.</t>
    </r>
  </si>
  <si>
    <r>
      <rPr>
        <sz val="10"/>
        <color theme="1"/>
        <rFont val="Arial"/>
      </rPr>
      <t xml:space="preserve">The cell below the </t>
    </r>
    <r>
      <rPr>
        <sz val="10"/>
        <color rgb="FFEA9999"/>
        <rFont val="Arial"/>
      </rPr>
      <t>Area</t>
    </r>
    <r>
      <rPr>
        <sz val="10"/>
        <color theme="1"/>
        <rFont val="Arial"/>
      </rPr>
      <t xml:space="preserve"> header is where you will put the total area of your kingdom or polity in square miles. If you use metric, you will need to convert the measurement.</t>
    </r>
  </si>
  <si>
    <r>
      <rPr>
        <sz val="10"/>
        <color theme="1"/>
        <rFont val="Arial"/>
      </rPr>
      <t xml:space="preserve">The drop-down menu below the </t>
    </r>
    <r>
      <rPr>
        <sz val="10"/>
        <color rgb="FFEA9999"/>
        <rFont val="Arial"/>
      </rPr>
      <t>People Fed Per Mi^2</t>
    </r>
    <r>
      <rPr>
        <sz val="10"/>
        <color theme="1"/>
        <rFont val="Arial"/>
      </rPr>
      <t xml:space="preserve"> header is where you will select the number of people who will be fed per square mile of cultivated land. Further information is provided in mouse-over tooltip located in the cell.</t>
    </r>
  </si>
  <si>
    <r>
      <rPr>
        <sz val="10"/>
        <color theme="1"/>
        <rFont val="Arial"/>
      </rPr>
      <t xml:space="preserve">Using our selected values, the number of </t>
    </r>
    <r>
      <rPr>
        <sz val="10"/>
        <color rgb="FFEA9999"/>
        <rFont val="Arial"/>
      </rPr>
      <t>Arable/Settled</t>
    </r>
    <r>
      <rPr>
        <sz val="10"/>
        <color theme="1"/>
        <rFont val="Arial"/>
      </rPr>
      <t xml:space="preserve"> land and </t>
    </r>
    <r>
      <rPr>
        <sz val="10"/>
        <color rgb="FFEA9999"/>
        <rFont val="Arial"/>
      </rPr>
      <t>Wilderness</t>
    </r>
    <r>
      <rPr>
        <sz val="10"/>
        <color theme="1"/>
        <rFont val="Arial"/>
      </rPr>
      <t xml:space="preserve"> is calculated. </t>
    </r>
    <r>
      <rPr>
        <sz val="10"/>
        <color rgb="FFEA9999"/>
        <rFont val="Arial"/>
      </rPr>
      <t>Wilderness</t>
    </r>
    <r>
      <rPr>
        <sz val="10"/>
        <color theme="1"/>
        <rFont val="Arial"/>
      </rPr>
      <t xml:space="preserve"> is simply defined as an area which is not currently being cultivated, and does not necessarily mean that it is howling wildreness. The number to the </t>
    </r>
    <r>
      <rPr>
        <sz val="10"/>
        <color rgb="FFEA9999"/>
        <rFont val="Arial"/>
      </rPr>
      <t>right of the image</t>
    </r>
    <r>
      <rPr>
        <sz val="10"/>
        <color theme="1"/>
        <rFont val="Arial"/>
      </rPr>
      <t xml:space="preserve"> is the percentage of land in your region that you will need to designate as farmland. All of these numbers together will give us the values in the below image.</t>
    </r>
  </si>
  <si>
    <r>
      <rPr>
        <sz val="10"/>
        <color theme="1"/>
        <rFont val="Arial"/>
      </rPr>
      <t xml:space="preserve">The number in the </t>
    </r>
    <r>
      <rPr>
        <sz val="10"/>
        <color rgb="FFEA9999"/>
        <rFont val="Arial"/>
      </rPr>
      <t>orange-colored cell</t>
    </r>
    <r>
      <rPr>
        <sz val="10"/>
        <color theme="1"/>
        <rFont val="Arial"/>
      </rPr>
      <t xml:space="preserve"> is the maximum total population that this region is able to support, and this number is divided between the </t>
    </r>
    <r>
      <rPr>
        <sz val="10"/>
        <color rgb="FFEA9999"/>
        <rFont val="Arial"/>
      </rPr>
      <t>Isolated/Itinerant</t>
    </r>
    <r>
      <rPr>
        <sz val="10"/>
        <color theme="1"/>
        <rFont val="Arial"/>
      </rPr>
      <t xml:space="preserve"> and the various </t>
    </r>
    <r>
      <rPr>
        <sz val="10"/>
        <color rgb="FFEA9999"/>
        <rFont val="Arial"/>
      </rPr>
      <t>Settlement Types</t>
    </r>
    <r>
      <rPr>
        <sz val="10"/>
        <color theme="1"/>
        <rFont val="Arial"/>
      </rPr>
      <t xml:space="preserve">. For more information on the </t>
    </r>
    <r>
      <rPr>
        <sz val="10"/>
        <color rgb="FFEA9999"/>
        <rFont val="Arial"/>
      </rPr>
      <t>Types of Settlements, Castle Types, Fortifications, Strategic Locations,</t>
    </r>
    <r>
      <rPr>
        <sz val="10"/>
        <color theme="1"/>
        <rFont val="Arial"/>
      </rPr>
      <t xml:space="preserve"> and </t>
    </r>
    <r>
      <rPr>
        <sz val="10"/>
        <color rgb="FFEA9999"/>
        <rFont val="Arial"/>
      </rPr>
      <t>Educational Institutions</t>
    </r>
    <r>
      <rPr>
        <sz val="10"/>
        <color theme="1"/>
        <rFont val="Arial"/>
      </rPr>
      <t xml:space="preserve"> see their mouse-over tooltips.</t>
    </r>
  </si>
  <si>
    <r>
      <rPr>
        <sz val="10"/>
        <color theme="1"/>
        <rFont val="Arial"/>
      </rPr>
      <t xml:space="preserve">In order to understand where we will be able to place our various settlements, we need to use the </t>
    </r>
    <r>
      <rPr>
        <sz val="10"/>
        <color rgb="FFEA9999"/>
        <rFont val="Arial"/>
      </rPr>
      <t>Tiering Settlements Section</t>
    </r>
    <r>
      <rPr>
        <sz val="10"/>
        <color theme="1"/>
        <rFont val="Arial"/>
      </rPr>
      <t xml:space="preserve">, shown in the image to the right. In order to use, simply check the </t>
    </r>
    <r>
      <rPr>
        <sz val="10"/>
        <color rgb="FF00FF00"/>
        <rFont val="Arial"/>
      </rPr>
      <t>green box</t>
    </r>
    <r>
      <rPr>
        <sz val="10"/>
        <color theme="1"/>
        <rFont val="Arial"/>
      </rPr>
      <t xml:space="preserve"> if that feature is present on the location where you want your settlement. The more boxes checked, the larger the settlement will be able to grow.</t>
    </r>
  </si>
  <si>
    <r>
      <rPr>
        <sz val="10"/>
        <color theme="1"/>
        <rFont val="Arial"/>
      </rPr>
      <t xml:space="preserve">We now have two areas that we need to check if we are to progress any further, located in the </t>
    </r>
    <r>
      <rPr>
        <sz val="10"/>
        <color rgb="FFEA9999"/>
        <rFont val="Arial"/>
      </rPr>
      <t>Settlement Overview Section</t>
    </r>
    <r>
      <rPr>
        <sz val="10"/>
        <color theme="1"/>
        <rFont val="Arial"/>
      </rPr>
      <t xml:space="preserve">, and the </t>
    </r>
    <r>
      <rPr>
        <sz val="10"/>
        <color rgb="FFEA9999"/>
        <rFont val="Arial"/>
      </rPr>
      <t>Special Considerations for Settlements Section.</t>
    </r>
    <r>
      <rPr>
        <sz val="10"/>
        <color theme="1"/>
        <rFont val="Arial"/>
      </rPr>
      <t xml:space="preserve"> Let's start with the </t>
    </r>
    <r>
      <rPr>
        <sz val="10"/>
        <color rgb="FFEA9999"/>
        <rFont val="Arial"/>
      </rPr>
      <t>Settlement Overview Section</t>
    </r>
    <r>
      <rPr>
        <sz val="10"/>
        <color theme="1"/>
        <rFont val="Arial"/>
      </rPr>
      <t xml:space="preserve"> first.</t>
    </r>
  </si>
  <si>
    <r>
      <rPr>
        <sz val="10"/>
        <color theme="1"/>
        <rFont val="Arial"/>
      </rPr>
      <t>Since this section is so long, it will need to be cut off at the bottom. In the</t>
    </r>
    <r>
      <rPr>
        <sz val="10"/>
        <color rgb="FF00FF00"/>
        <rFont val="Arial"/>
      </rPr>
      <t xml:space="preserve"> left</t>
    </r>
    <r>
      <rPr>
        <sz val="10"/>
        <color theme="1"/>
        <rFont val="Arial"/>
      </rPr>
      <t xml:space="preserve"> </t>
    </r>
    <r>
      <rPr>
        <sz val="10"/>
        <color rgb="FF00FF00"/>
        <rFont val="Arial"/>
      </rPr>
      <t>green cell</t>
    </r>
    <r>
      <rPr>
        <sz val="10"/>
        <color theme="1"/>
        <rFont val="Arial"/>
      </rPr>
      <t xml:space="preserve"> you will need to input the total population of a village, provided it is </t>
    </r>
    <r>
      <rPr>
        <sz val="10"/>
        <color rgb="FFEA9999"/>
        <rFont val="Arial"/>
      </rPr>
      <t>above 500 people</t>
    </r>
    <r>
      <rPr>
        <sz val="10"/>
        <color theme="1"/>
        <rFont val="Arial"/>
      </rPr>
      <t xml:space="preserve">. Inputting this value will give us the </t>
    </r>
    <r>
      <rPr>
        <sz val="10"/>
        <color rgb="FFEA9999"/>
        <rFont val="Arial"/>
      </rPr>
      <t>number and types of buisnesses</t>
    </r>
    <r>
      <rPr>
        <sz val="10"/>
        <color rgb="FFDD7E6B"/>
        <rFont val="Arial"/>
      </rPr>
      <t xml:space="preserve"> </t>
    </r>
    <r>
      <rPr>
        <sz val="10"/>
        <color theme="1"/>
        <rFont val="Arial"/>
      </rPr>
      <t xml:space="preserve">present in the settlement. This number must be </t>
    </r>
    <r>
      <rPr>
        <sz val="10"/>
        <color rgb="FFEA9999"/>
        <rFont val="Arial"/>
      </rPr>
      <t>added to</t>
    </r>
    <r>
      <rPr>
        <sz val="10"/>
        <color theme="1"/>
        <rFont val="Arial"/>
      </rPr>
      <t xml:space="preserve"> the number of buisnesses in the</t>
    </r>
    <r>
      <rPr>
        <sz val="10"/>
        <color rgb="FFEA9999"/>
        <rFont val="Arial"/>
      </rPr>
      <t xml:space="preserve"> Village Subsection</t>
    </r>
    <r>
      <rPr>
        <sz val="10"/>
        <color theme="1"/>
        <rFont val="Arial"/>
      </rPr>
      <t xml:space="preserve"> located in the </t>
    </r>
    <r>
      <rPr>
        <sz val="10"/>
        <color rgb="FFEA9999"/>
        <rFont val="Arial"/>
      </rPr>
      <t>Special Considerations for Settlements Section</t>
    </r>
    <r>
      <rPr>
        <sz val="10"/>
        <color theme="1"/>
        <rFont val="Arial"/>
      </rPr>
      <t>, which will be covered later.</t>
    </r>
  </si>
  <si>
    <r>
      <rPr>
        <sz val="10"/>
        <color theme="1"/>
        <rFont val="Arial"/>
      </rPr>
      <t xml:space="preserve">In the </t>
    </r>
    <r>
      <rPr>
        <sz val="10"/>
        <color rgb="FF00FF00"/>
        <rFont val="Arial"/>
      </rPr>
      <t>right green cell</t>
    </r>
    <r>
      <rPr>
        <sz val="10"/>
        <color theme="1"/>
        <rFont val="Arial"/>
      </rPr>
      <t xml:space="preserve">, you will need to input the total population of a </t>
    </r>
    <r>
      <rPr>
        <sz val="10"/>
        <color rgb="FFEA9999"/>
        <rFont val="Arial"/>
      </rPr>
      <t>town or city</t>
    </r>
    <r>
      <rPr>
        <sz val="10"/>
        <color theme="1"/>
        <rFont val="Arial"/>
      </rPr>
      <t xml:space="preserve">, provided the population is </t>
    </r>
    <r>
      <rPr>
        <sz val="10"/>
        <color rgb="FFEA9999"/>
        <rFont val="Arial"/>
      </rPr>
      <t>above 1,500 people</t>
    </r>
    <r>
      <rPr>
        <sz val="10"/>
        <color theme="1"/>
        <rFont val="Arial"/>
      </rPr>
      <t xml:space="preserve">. Inputting this value will give us the </t>
    </r>
    <r>
      <rPr>
        <sz val="10"/>
        <color rgb="FFEA9999"/>
        <rFont val="Arial"/>
      </rPr>
      <t>number and types of buisnesses</t>
    </r>
    <r>
      <rPr>
        <sz val="10"/>
        <color theme="1"/>
        <rFont val="Arial"/>
      </rPr>
      <t xml:space="preserve"> present in this settlement. Further information can be found in the mouseover tooltips located in certain cells.</t>
    </r>
  </si>
  <si>
    <r>
      <rPr>
        <sz val="10"/>
        <color theme="1"/>
        <rFont val="Arial"/>
      </rPr>
      <t xml:space="preserve">Since the </t>
    </r>
    <r>
      <rPr>
        <sz val="10"/>
        <color rgb="FFEA9999"/>
        <rFont val="Arial"/>
      </rPr>
      <t>Special Considerations for Settlements Section</t>
    </r>
    <r>
      <rPr>
        <sz val="10"/>
        <color theme="1"/>
        <rFont val="Arial"/>
      </rPr>
      <t xml:space="preserve"> is so long, it is cut off in the same manner as the above image. This section gives you the </t>
    </r>
    <r>
      <rPr>
        <sz val="10"/>
        <color rgb="FFEA9999"/>
        <rFont val="Arial"/>
      </rPr>
      <t>general number and types of buisnesses</t>
    </r>
    <r>
      <rPr>
        <sz val="10"/>
        <color theme="1"/>
        <rFont val="Arial"/>
      </rPr>
      <t xml:space="preserve"> present in </t>
    </r>
    <r>
      <rPr>
        <sz val="10"/>
        <color rgb="FFEA9999"/>
        <rFont val="Arial"/>
      </rPr>
      <t>villages less than 500 people</t>
    </r>
    <r>
      <rPr>
        <sz val="10"/>
        <color theme="1"/>
        <rFont val="Arial"/>
      </rPr>
      <t xml:space="preserve"> and for </t>
    </r>
    <r>
      <rPr>
        <sz val="10"/>
        <color rgb="FFEA9999"/>
        <rFont val="Arial"/>
      </rPr>
      <t>towns less than 1,500 people</t>
    </r>
    <r>
      <rPr>
        <sz val="10"/>
        <color theme="1"/>
        <rFont val="Arial"/>
      </rPr>
      <t xml:space="preserve">. In order to properly use this section you will have to </t>
    </r>
    <r>
      <rPr>
        <sz val="10"/>
        <color rgb="FFEA9999"/>
        <rFont val="Arial"/>
      </rPr>
      <t>use the tooltips</t>
    </r>
    <r>
      <rPr>
        <sz val="10"/>
        <color theme="1"/>
        <rFont val="Arial"/>
      </rPr>
      <t xml:space="preserve"> present in certain cells. As the population falls farther beyond the maximum number, </t>
    </r>
    <r>
      <rPr>
        <sz val="10"/>
        <color rgb="FFEA9999"/>
        <rFont val="Arial"/>
      </rPr>
      <t>buisnesses will need to be removed.</t>
    </r>
    <r>
      <rPr>
        <sz val="10"/>
        <color theme="1"/>
        <rFont val="Arial"/>
      </rPr>
      <t xml:space="preserve"> There is no set way of doing this, so </t>
    </r>
    <r>
      <rPr>
        <sz val="10"/>
        <color rgb="FFEA9999"/>
        <rFont val="Arial"/>
      </rPr>
      <t>use your own judgement.</t>
    </r>
  </si>
  <si>
    <r>
      <rPr>
        <sz val="10"/>
        <color theme="1"/>
        <rFont val="Arial"/>
      </rPr>
      <t xml:space="preserve">In the </t>
    </r>
    <r>
      <rPr>
        <sz val="10"/>
        <color rgb="FFEA9999"/>
        <rFont val="Arial"/>
      </rPr>
      <t>Overland Travel Sheet,</t>
    </r>
    <r>
      <rPr>
        <sz val="10"/>
        <color theme="1"/>
        <rFont val="Arial"/>
      </rPr>
      <t xml:space="preserve"> the only thing you will need to change is in the </t>
    </r>
    <r>
      <rPr>
        <sz val="10"/>
        <color rgb="FF00FF00"/>
        <rFont val="Arial"/>
      </rPr>
      <t>green checkboxes</t>
    </r>
    <r>
      <rPr>
        <sz val="10"/>
        <color theme="1"/>
        <rFont val="Arial"/>
      </rPr>
      <t xml:space="preserve">. Checking a box changes the daily travel speed for all the variations in movement given. It is important to note that you </t>
    </r>
    <r>
      <rPr>
        <sz val="10"/>
        <color rgb="FFEA9999"/>
        <rFont val="Arial"/>
      </rPr>
      <t>only check one box per column.</t>
    </r>
    <r>
      <rPr>
        <sz val="10"/>
        <color theme="1"/>
        <rFont val="Arial"/>
      </rPr>
      <t xml:space="preserve"> Doing otherwise will give you wrong numbers. If the current amount of precipitation is </t>
    </r>
    <r>
      <rPr>
        <sz val="10"/>
        <color rgb="FFEA9999"/>
        <rFont val="Arial"/>
      </rPr>
      <t>less than moderate,</t>
    </r>
    <r>
      <rPr>
        <sz val="10"/>
        <color theme="1"/>
        <rFont val="Arial"/>
      </rPr>
      <t xml:space="preserve"> you need to </t>
    </r>
    <r>
      <rPr>
        <sz val="10"/>
        <color rgb="FFEA9999"/>
        <rFont val="Arial"/>
      </rPr>
      <t>check the None box.</t>
    </r>
  </si>
  <si>
    <r>
      <rPr>
        <sz val="10"/>
        <color theme="1"/>
        <rFont val="Arial"/>
      </rPr>
      <t xml:space="preserve">The formulas in the </t>
    </r>
    <r>
      <rPr>
        <sz val="10"/>
        <color rgb="FFEA9999"/>
        <rFont val="Arial"/>
      </rPr>
      <t>experimental sheet</t>
    </r>
    <r>
      <rPr>
        <sz val="10"/>
        <color theme="1"/>
        <rFont val="Arial"/>
      </rPr>
      <t xml:space="preserve"> are just that: experimental. There is </t>
    </r>
    <r>
      <rPr>
        <sz val="10"/>
        <color rgb="FFEA9999"/>
        <rFont val="Arial"/>
      </rPr>
      <t>no guarantee that they work,</t>
    </r>
    <r>
      <rPr>
        <sz val="10"/>
        <color theme="1"/>
        <rFont val="Arial"/>
      </rPr>
      <t xml:space="preserve"> and it is recommended that you </t>
    </r>
    <r>
      <rPr>
        <sz val="10"/>
        <color rgb="FFEA9999"/>
        <rFont val="Arial"/>
      </rPr>
      <t xml:space="preserve">don't use them. </t>
    </r>
    <r>
      <rPr>
        <sz val="10"/>
        <color theme="1"/>
        <rFont val="Arial"/>
      </rPr>
      <t xml:space="preserve">In order to understand how they workd, it is recommended that you </t>
    </r>
    <r>
      <rPr>
        <sz val="10"/>
        <color rgb="FFEA9999"/>
        <rFont val="Arial"/>
      </rPr>
      <t>read the tooltips.</t>
    </r>
  </si>
  <si>
    <t>General National Stastics</t>
  </si>
  <si>
    <t>Tiering Setttlements</t>
  </si>
  <si>
    <t>Additional Businesses for Settlements</t>
  </si>
  <si>
    <t>Settlement Basics</t>
  </si>
  <si>
    <t>Region Name</t>
  </si>
  <si>
    <t>Pop. Den.</t>
  </si>
  <si>
    <t>Area</t>
  </si>
  <si>
    <t>People Fed Per Mi^2</t>
  </si>
  <si>
    <t>Fresh Water</t>
  </si>
  <si>
    <t>Businesses and Buildings</t>
  </si>
  <si>
    <t>Valley Kingdom</t>
  </si>
  <si>
    <t>Coastline for Fishing</t>
  </si>
  <si>
    <t>Villages &gt;500</t>
  </si>
  <si>
    <t>Towns &gt;1,500</t>
  </si>
  <si>
    <t>Villages &lt;500</t>
  </si>
  <si>
    <t>Towns &lt;1,500</t>
  </si>
  <si>
    <t>Occupies an area of:</t>
  </si>
  <si>
    <t>Mi^2, of which</t>
  </si>
  <si>
    <t>% is cultivated</t>
  </si>
  <si>
    <t>Fertile Farming Land</t>
  </si>
  <si>
    <t>Total Population</t>
  </si>
  <si>
    <t>Church</t>
  </si>
  <si>
    <t>Bank</t>
  </si>
  <si>
    <t>Regional Area</t>
  </si>
  <si>
    <t>Mi^2</t>
  </si>
  <si>
    <t>Hectares</t>
  </si>
  <si>
    <t>Will Not Flood</t>
  </si>
  <si>
    <t>N/A</t>
  </si>
  <si>
    <t>Bakery</t>
  </si>
  <si>
    <t>Healer</t>
  </si>
  <si>
    <t>Scribe/Notary/Lawyer</t>
  </si>
  <si>
    <t>Arable/Settled:</t>
  </si>
  <si>
    <t>Easily Defendable Location</t>
  </si>
  <si>
    <t>Bathhouse</t>
  </si>
  <si>
    <t>Scribe/Notary</t>
  </si>
  <si>
    <t>Wilderness:</t>
  </si>
  <si>
    <t>Room to Expand</t>
  </si>
  <si>
    <t>Brewer</t>
  </si>
  <si>
    <t>Tavern</t>
  </si>
  <si>
    <t>Regional Population and Distribution</t>
  </si>
  <si>
    <t>Crossroads</t>
  </si>
  <si>
    <t>Butcher</t>
  </si>
  <si>
    <t>Mill</t>
  </si>
  <si>
    <t>supports a total population of</t>
  </si>
  <si>
    <t>Nearby Good Quality Stone</t>
  </si>
  <si>
    <t>Carpenter</t>
  </si>
  <si>
    <t>Blacksmith</t>
  </si>
  <si>
    <t>Fisher/Trapper</t>
  </si>
  <si>
    <t>Settlement Type</t>
  </si>
  <si>
    <t>Number</t>
  </si>
  <si>
    <t>Total Pop</t>
  </si>
  <si>
    <t>Average Pop. of Each</t>
  </si>
  <si>
    <t>Nearby Forests</t>
  </si>
  <si>
    <t>General Merchant</t>
  </si>
  <si>
    <t>Inn</t>
  </si>
  <si>
    <t>Isolated/itinerant</t>
  </si>
  <si>
    <t>Room for Farming</t>
  </si>
  <si>
    <t>Clergy</t>
  </si>
  <si>
    <t>Miscellaneous</t>
  </si>
  <si>
    <t>Villages</t>
  </si>
  <si>
    <t>Relatively Flat</t>
  </si>
  <si>
    <t>Dyer</t>
  </si>
  <si>
    <t>Brothel</t>
  </si>
  <si>
    <t>Towns</t>
  </si>
  <si>
    <t>Financial</t>
  </si>
  <si>
    <t>Cities</t>
  </si>
  <si>
    <t>Fish-monger(Port)</t>
  </si>
  <si>
    <t>Tinsmith</t>
  </si>
  <si>
    <t>Big Cities</t>
  </si>
  <si>
    <t>Fish-monger(Land)</t>
  </si>
  <si>
    <t>Cloth Shops</t>
  </si>
  <si>
    <t>Colleges, Universities, and Fortifications</t>
  </si>
  <si>
    <t>Foundry</t>
  </si>
  <si>
    <t>Tailor</t>
  </si>
  <si>
    <t>supports</t>
  </si>
  <si>
    <t>Universities</t>
  </si>
  <si>
    <t>Gen. Merchant</t>
  </si>
  <si>
    <t>Castle Types</t>
  </si>
  <si>
    <t>Transitory Colleges</t>
  </si>
  <si>
    <t>Inn/Tavern</t>
  </si>
  <si>
    <t>Mills</t>
  </si>
  <si>
    <t>Concentric</t>
  </si>
  <si>
    <t>Fortifications</t>
  </si>
  <si>
    <t>Leather-worker</t>
  </si>
  <si>
    <t>Pottery</t>
  </si>
  <si>
    <t>Enclosed</t>
  </si>
  <si>
    <t>Strategic Locations</t>
  </si>
  <si>
    <t>Mason</t>
  </si>
  <si>
    <t>Masons</t>
  </si>
  <si>
    <t>Germanic</t>
  </si>
  <si>
    <t>Carpenters</t>
  </si>
  <si>
    <t>Linked</t>
  </si>
  <si>
    <t>Potter</t>
  </si>
  <si>
    <t>Wheel/Cartwright</t>
  </si>
  <si>
    <t>Poly-Walled</t>
  </si>
  <si>
    <t>Scribe</t>
  </si>
  <si>
    <t>Leather-workers</t>
  </si>
  <si>
    <t>Towered</t>
  </si>
  <si>
    <t>Smith</t>
  </si>
  <si>
    <t>Unwalled</t>
  </si>
  <si>
    <t>Tanner</t>
  </si>
  <si>
    <t>Teacher</t>
  </si>
  <si>
    <t>Textile Trade</t>
  </si>
  <si>
    <t>READ THIS FIRST</t>
  </si>
  <si>
    <t>Mount Movements</t>
  </si>
  <si>
    <t>Vehicle Movements</t>
  </si>
  <si>
    <t>Personal Movement</t>
  </si>
  <si>
    <t>Terrain Types</t>
  </si>
  <si>
    <t>Encumbrance</t>
  </si>
  <si>
    <t>Normal</t>
  </si>
  <si>
    <t>Rugged</t>
  </si>
  <si>
    <t>Very Rugged</t>
  </si>
  <si>
    <t>Maximum Load</t>
  </si>
  <si>
    <t>Donkey</t>
  </si>
  <si>
    <t>Small Cart</t>
  </si>
  <si>
    <t>-</t>
  </si>
  <si>
    <t>None</t>
  </si>
  <si>
    <t>w/ Max Load</t>
  </si>
  <si>
    <t>w/ Pony</t>
  </si>
  <si>
    <t>Light</t>
  </si>
  <si>
    <t>Pony</t>
  </si>
  <si>
    <t>w/ Horse</t>
  </si>
  <si>
    <t>Moderate</t>
  </si>
  <si>
    <t>w/ Mule</t>
  </si>
  <si>
    <t>Heavy</t>
  </si>
  <si>
    <t>Horse</t>
  </si>
  <si>
    <t>Medium Cart</t>
  </si>
  <si>
    <t>Severe</t>
  </si>
  <si>
    <t>Mule</t>
  </si>
  <si>
    <t>Small Wagon</t>
  </si>
  <si>
    <t>Weather Effects</t>
  </si>
  <si>
    <t>Wind Speed</t>
  </si>
  <si>
    <t>Precipitation</t>
  </si>
  <si>
    <t>Large Wagon</t>
  </si>
  <si>
    <t>0-10</t>
  </si>
  <si>
    <t>If None</t>
  </si>
  <si>
    <t>w/Horse</t>
  </si>
  <si>
    <t>If Moderate</t>
  </si>
  <si>
    <t>21-30</t>
  </si>
  <si>
    <t>If Heavy</t>
  </si>
  <si>
    <t>31-45</t>
  </si>
  <si>
    <t>46-79</t>
  </si>
  <si>
    <t>80+</t>
  </si>
  <si>
    <t>River Flow Calculator</t>
  </si>
  <si>
    <t>Connecting Inflows</t>
  </si>
  <si>
    <t>Rain p.a.</t>
  </si>
  <si>
    <t>In mm</t>
  </si>
  <si>
    <t>Elev.</t>
  </si>
  <si>
    <t>In M</t>
  </si>
  <si>
    <t>Military Forces</t>
  </si>
  <si>
    <t>Very Rough</t>
  </si>
  <si>
    <t>Clan Population</t>
  </si>
  <si>
    <t>Knights</t>
  </si>
  <si>
    <t>Stream Gradient</t>
  </si>
  <si>
    <t>Elev. Diff.</t>
  </si>
  <si>
    <t>R. Dis.</t>
  </si>
  <si>
    <t>km^2</t>
  </si>
  <si>
    <t>Men-at-Arms</t>
  </si>
  <si>
    <t>Villages &gt;450</t>
  </si>
  <si>
    <t>Levies</t>
  </si>
  <si>
    <t>Pixels</t>
  </si>
  <si>
    <t>In km</t>
  </si>
  <si>
    <t>Rough</t>
  </si>
  <si>
    <t>Total Forces</t>
  </si>
  <si>
    <t>Urban Population</t>
  </si>
  <si>
    <t>% of Population</t>
  </si>
  <si>
    <t>Outflow Friction Types</t>
  </si>
  <si>
    <t>Velocities</t>
  </si>
  <si>
    <t>In mph</t>
  </si>
  <si>
    <t>Outflows</t>
  </si>
  <si>
    <t>In ft^3</t>
  </si>
  <si>
    <t>Checks</t>
  </si>
  <si>
    <t>Mountain Streams</t>
  </si>
  <si>
    <t>Clean &amp; Straight</t>
  </si>
  <si>
    <t>Clean &amp; Winding</t>
  </si>
  <si>
    <t>Weeds &amp; Stones</t>
  </si>
  <si>
    <t>Most Rivers</t>
  </si>
  <si>
    <t>Dense Side Growth</t>
  </si>
  <si>
    <t>Floodplains</t>
  </si>
  <si>
    <t>Width</t>
  </si>
  <si>
    <t>Depth</t>
  </si>
  <si>
    <t>Combining flows are purely additive</t>
  </si>
  <si>
    <t>Feet</t>
  </si>
  <si>
    <t>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</si>
</sst>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m\-d"/>
    <numFmt numFmtId="168" formatCode="0.0000"/>
  </numFmts>
  <fonts count="18" x14ac:knownFonts="1">
    <font>
      <sz val="10"/>
      <color rgb="FF000000"/>
      <name val="Arial"/>
      <scheme val="minor"/>
    </font>
    <font>
      <sz val="10"/>
      <color theme="1"/>
      <name val="Arial"/>
      <scheme val="minor"/>
    </font>
    <font>
      <sz val="10"/>
      <color rgb="FF434343"/>
      <name val="Arial"/>
      <scheme val="minor"/>
    </font>
    <font>
      <b/>
      <sz val="10"/>
      <color theme="1"/>
      <name val="Arial"/>
      <scheme val="minor"/>
    </font>
    <font>
      <b/>
      <sz val="10"/>
      <color theme="1"/>
      <name val="Arial"/>
    </font>
    <font>
      <sz val="10"/>
      <color theme="1"/>
      <name val="Arial"/>
    </font>
    <font>
      <i/>
      <sz val="10"/>
      <color theme="1"/>
      <name val="Arial"/>
    </font>
    <font>
      <sz val="10"/>
      <color rgb="FF999999"/>
      <name val="Arial"/>
    </font>
    <font>
      <i/>
      <sz val="10"/>
      <color theme="1"/>
      <name val="Arial"/>
      <scheme val="minor"/>
    </font>
    <font>
      <sz val="11"/>
      <color rgb="FF000000"/>
      <name val="Inconsolata"/>
    </font>
    <font>
      <sz val="11"/>
      <color rgb="FF000000"/>
      <name val="Arial"/>
      <scheme val="minor"/>
    </font>
    <font>
      <sz val="18"/>
      <color theme="1"/>
      <name val="Arial"/>
      <scheme val="minor"/>
    </font>
    <font>
      <b/>
      <i/>
      <sz val="10"/>
      <color theme="1"/>
      <name val="Arial"/>
    </font>
    <font>
      <sz val="11"/>
      <color rgb="FF000000"/>
      <name val="Arial"/>
    </font>
    <font>
      <sz val="10"/>
      <name val="Arial"/>
    </font>
    <font>
      <sz val="10"/>
      <color rgb="FF00FF00"/>
      <name val="Arial"/>
    </font>
    <font>
      <sz val="10"/>
      <color rgb="FFEA9999"/>
      <name val="Arial"/>
    </font>
    <font>
      <sz val="10"/>
      <color rgb="FFDD7E6B"/>
      <name val="Arial"/>
    </font>
  </fonts>
  <fills count="20">
    <fill>
      <patternFill patternType="none"/>
    </fill>
    <fill>
      <patternFill patternType="gray125"/>
    </fill>
    <fill>
      <patternFill patternType="solid">
        <fgColor rgb="FFB6D7A8"/>
        <bgColor rgb="FFB6D7A8"/>
      </patternFill>
    </fill>
    <fill>
      <patternFill patternType="solid">
        <fgColor rgb="FFB45F06"/>
        <bgColor rgb="FFB45F06"/>
      </patternFill>
    </fill>
    <fill>
      <patternFill patternType="solid">
        <fgColor rgb="FF434343"/>
        <bgColor rgb="FF434343"/>
      </patternFill>
    </fill>
    <fill>
      <patternFill patternType="solid">
        <fgColor rgb="FFCCCCCC"/>
        <bgColor rgb="FFCCCCCC"/>
      </patternFill>
    </fill>
    <fill>
      <patternFill patternType="solid">
        <fgColor rgb="FF999999"/>
        <bgColor rgb="FF999999"/>
      </patternFill>
    </fill>
    <fill>
      <patternFill patternType="solid">
        <fgColor rgb="FFFFD966"/>
        <bgColor rgb="FFFFD966"/>
      </patternFill>
    </fill>
    <fill>
      <patternFill patternType="solid">
        <fgColor rgb="FF00FF00"/>
        <bgColor rgb="FF00FF00"/>
      </patternFill>
    </fill>
    <fill>
      <patternFill patternType="solid">
        <fgColor rgb="FFF3F3F3"/>
        <bgColor rgb="FFF3F3F3"/>
      </patternFill>
    </fill>
    <fill>
      <patternFill patternType="solid">
        <fgColor rgb="FF6AA84F"/>
        <bgColor rgb="FF6AA84F"/>
      </patternFill>
    </fill>
    <fill>
      <patternFill patternType="solid">
        <fgColor rgb="FFD9D9D9"/>
        <bgColor rgb="FFD9D9D9"/>
      </patternFill>
    </fill>
    <fill>
      <patternFill patternType="solid">
        <fgColor rgb="FFD9EAD3"/>
        <bgColor rgb="FFD9EAD3"/>
      </patternFill>
    </fill>
    <fill>
      <patternFill patternType="solid">
        <fgColor rgb="FFFF9900"/>
        <bgColor rgb="FFFF9900"/>
      </patternFill>
    </fill>
    <fill>
      <patternFill patternType="solid">
        <fgColor rgb="FFFF0000"/>
        <bgColor rgb="FFFF0000"/>
      </patternFill>
    </fill>
    <fill>
      <patternFill patternType="solid">
        <fgColor rgb="FFFFFFFF"/>
        <bgColor rgb="FFFFFFFF"/>
      </patternFill>
    </fill>
    <fill>
      <patternFill patternType="solid">
        <fgColor rgb="FF6FA8DC"/>
        <bgColor rgb="FF6FA8DC"/>
      </patternFill>
    </fill>
    <fill>
      <patternFill patternType="solid">
        <fgColor rgb="FFEA9999"/>
        <bgColor rgb="FFEA9999"/>
      </patternFill>
    </fill>
    <fill>
      <patternFill patternType="solid">
        <fgColor rgb="FFEFEFEF"/>
        <bgColor rgb="FFEFEFEF"/>
      </patternFill>
    </fill>
    <fill>
      <patternFill patternType="solid">
        <fgColor rgb="FFF4CCCC"/>
        <bgColor rgb="FFF4CCCC"/>
      </patternFill>
    </fill>
  </fills>
  <borders count="2">
    <border>
      <left/>
      <right/>
      <top/>
      <bottom/>
      <diagonal/>
    </border>
    <border>
      <left/>
      <right/>
      <top/>
      <bottom/>
      <diagonal/>
    </border>
  </borders>
  <cellStyleXfs count="1">
    <xf numFmtId="0" fontId="0" fillId="0" borderId="0"/>
  </cellStyleXfs>
  <cellXfs count="105">
    <xf numFmtId="0" fontId="0" fillId="0" borderId="0" xfId="0"/>
    <xf numFmtId="0" fontId="1" fillId="4" borderId="0" xfId="0" applyFont="1" applyFill="1" applyAlignment="1">
      <alignment horizontal="center" wrapText="1"/>
    </xf>
    <xf numFmtId="0" fontId="1" fillId="4" borderId="0" xfId="0" applyFont="1" applyFill="1"/>
    <xf numFmtId="0" fontId="2" fillId="4" borderId="0" xfId="0" applyFont="1" applyFill="1"/>
    <xf numFmtId="0" fontId="1" fillId="5" borderId="0" xfId="0" applyFont="1" applyFill="1" applyAlignment="1">
      <alignment horizontal="center"/>
    </xf>
    <xf numFmtId="0" fontId="5" fillId="0" borderId="0" xfId="0" applyFont="1" applyAlignment="1">
      <alignment horizontal="right"/>
    </xf>
    <xf numFmtId="0" fontId="6" fillId="5" borderId="0" xfId="0" applyFont="1" applyFill="1"/>
    <xf numFmtId="0" fontId="6" fillId="5" borderId="0" xfId="0" applyFont="1" applyFill="1" applyAlignment="1">
      <alignment horizontal="center"/>
    </xf>
    <xf numFmtId="0" fontId="5" fillId="8" borderId="0" xfId="0" applyFont="1" applyFill="1"/>
    <xf numFmtId="0" fontId="5" fillId="9" borderId="0" xfId="0" applyFont="1" applyFill="1"/>
    <xf numFmtId="0" fontId="1" fillId="9" borderId="0" xfId="0" applyFont="1" applyFill="1" applyAlignment="1">
      <alignment horizontal="center"/>
    </xf>
    <xf numFmtId="0" fontId="5" fillId="8" borderId="0" xfId="0" applyFont="1" applyFill="1" applyAlignment="1">
      <alignment horizontal="center"/>
    </xf>
    <xf numFmtId="3" fontId="5" fillId="8" borderId="0" xfId="0" applyNumberFormat="1" applyFont="1" applyFill="1" applyAlignment="1">
      <alignment horizontal="center"/>
    </xf>
    <xf numFmtId="0" fontId="3" fillId="9" borderId="0" xfId="0" applyFont="1" applyFill="1" applyAlignment="1">
      <alignment horizontal="center"/>
    </xf>
    <xf numFmtId="0" fontId="1" fillId="9" borderId="0" xfId="0" applyFont="1" applyFill="1"/>
    <xf numFmtId="0" fontId="5" fillId="5" borderId="0" xfId="0" applyFont="1" applyFill="1" applyAlignment="1">
      <alignment horizontal="center"/>
    </xf>
    <xf numFmtId="0" fontId="5" fillId="5" borderId="0" xfId="0" applyFont="1" applyFill="1"/>
    <xf numFmtId="3" fontId="5" fillId="10" borderId="0" xfId="0" applyNumberFormat="1" applyFont="1" applyFill="1" applyAlignment="1">
      <alignment horizontal="center"/>
    </xf>
    <xf numFmtId="164" fontId="5" fillId="7" borderId="0" xfId="0" applyNumberFormat="1" applyFont="1" applyFill="1" applyAlignment="1">
      <alignment horizontal="center"/>
    </xf>
    <xf numFmtId="0" fontId="5" fillId="11" borderId="0" xfId="0" applyFont="1" applyFill="1"/>
    <xf numFmtId="3" fontId="1" fillId="8" borderId="0" xfId="0" applyNumberFormat="1" applyFont="1" applyFill="1"/>
    <xf numFmtId="0" fontId="8" fillId="9" borderId="0" xfId="0" applyFont="1" applyFill="1" applyAlignment="1">
      <alignment horizontal="center"/>
    </xf>
    <xf numFmtId="0" fontId="4" fillId="5" borderId="0" xfId="0" applyFont="1" applyFill="1"/>
    <xf numFmtId="0" fontId="6" fillId="9" borderId="0" xfId="0" applyFont="1" applyFill="1" applyAlignment="1">
      <alignment horizontal="center"/>
    </xf>
    <xf numFmtId="1" fontId="1" fillId="12" borderId="0" xfId="0" applyNumberFormat="1" applyFont="1" applyFill="1" applyAlignment="1">
      <alignment horizontal="center"/>
    </xf>
    <xf numFmtId="0" fontId="6" fillId="9" borderId="0" xfId="0" applyFont="1" applyFill="1"/>
    <xf numFmtId="3" fontId="5" fillId="7" borderId="0" xfId="0" applyNumberFormat="1" applyFont="1" applyFill="1" applyAlignment="1">
      <alignment horizontal="center"/>
    </xf>
    <xf numFmtId="0" fontId="5" fillId="9" borderId="0" xfId="0" applyFont="1" applyFill="1" applyAlignment="1">
      <alignment horizontal="center"/>
    </xf>
    <xf numFmtId="0" fontId="1" fillId="12" borderId="0" xfId="0" applyFont="1" applyFill="1" applyAlignment="1">
      <alignment horizontal="center"/>
    </xf>
    <xf numFmtId="3" fontId="5" fillId="13" borderId="0" xfId="0" applyNumberFormat="1" applyFont="1" applyFill="1" applyAlignment="1">
      <alignment horizontal="center"/>
    </xf>
    <xf numFmtId="3" fontId="5" fillId="12" borderId="0" xfId="0" applyNumberFormat="1" applyFont="1" applyFill="1" applyAlignment="1">
      <alignment horizontal="center"/>
    </xf>
    <xf numFmtId="3" fontId="5" fillId="9" borderId="0" xfId="0" applyNumberFormat="1" applyFont="1" applyFill="1" applyAlignment="1">
      <alignment horizontal="center"/>
    </xf>
    <xf numFmtId="1" fontId="1" fillId="9" borderId="0" xfId="0" applyNumberFormat="1" applyFont="1" applyFill="1" applyAlignment="1">
      <alignment horizontal="center"/>
    </xf>
    <xf numFmtId="0" fontId="5" fillId="12" borderId="0" xfId="0" applyFont="1" applyFill="1" applyAlignment="1">
      <alignment horizontal="center"/>
    </xf>
    <xf numFmtId="0" fontId="1" fillId="0" borderId="0" xfId="0" applyFont="1"/>
    <xf numFmtId="0" fontId="1" fillId="5" borderId="0" xfId="0" applyFont="1" applyFill="1"/>
    <xf numFmtId="0" fontId="3" fillId="11" borderId="0" xfId="0" applyFont="1" applyFill="1" applyAlignment="1">
      <alignment horizontal="center"/>
    </xf>
    <xf numFmtId="0" fontId="1" fillId="11" borderId="0" xfId="0" applyFont="1" applyFill="1" applyAlignment="1">
      <alignment horizontal="center"/>
    </xf>
    <xf numFmtId="0" fontId="1" fillId="11" borderId="0" xfId="0" applyFont="1" applyFill="1"/>
    <xf numFmtId="0" fontId="9" fillId="9" borderId="0" xfId="0" applyFont="1" applyFill="1" applyAlignment="1">
      <alignment horizontal="center"/>
    </xf>
    <xf numFmtId="165" fontId="1" fillId="11" borderId="0" xfId="0" applyNumberFormat="1" applyFont="1" applyFill="1" applyAlignment="1">
      <alignment horizontal="center"/>
    </xf>
    <xf numFmtId="166" fontId="1" fillId="11" borderId="0" xfId="0" applyNumberFormat="1" applyFont="1" applyFill="1" applyAlignment="1">
      <alignment horizontal="center"/>
    </xf>
    <xf numFmtId="1" fontId="9" fillId="9" borderId="0" xfId="0" applyNumberFormat="1" applyFont="1" applyFill="1" applyAlignment="1">
      <alignment horizontal="center"/>
    </xf>
    <xf numFmtId="0" fontId="8" fillId="11" borderId="0" xfId="0" applyFont="1" applyFill="1" applyAlignment="1">
      <alignment horizontal="right"/>
    </xf>
    <xf numFmtId="1" fontId="1" fillId="11" borderId="0" xfId="0" applyNumberFormat="1" applyFont="1" applyFill="1" applyAlignment="1">
      <alignment horizontal="center"/>
    </xf>
    <xf numFmtId="0" fontId="1" fillId="15" borderId="0" xfId="0" applyFont="1" applyFill="1"/>
    <xf numFmtId="0" fontId="10" fillId="9" borderId="0" xfId="0" applyFont="1" applyFill="1" applyAlignment="1">
      <alignment horizontal="center"/>
    </xf>
    <xf numFmtId="0" fontId="1" fillId="8" borderId="0" xfId="0" applyFont="1" applyFill="1" applyAlignment="1">
      <alignment horizontal="center"/>
    </xf>
    <xf numFmtId="0" fontId="1" fillId="8" borderId="0" xfId="0" applyFont="1" applyFill="1"/>
    <xf numFmtId="3" fontId="1" fillId="9" borderId="0" xfId="0" applyNumberFormat="1" applyFont="1" applyFill="1" applyAlignment="1">
      <alignment horizontal="center"/>
    </xf>
    <xf numFmtId="0" fontId="1" fillId="15" borderId="0" xfId="0" applyFont="1" applyFill="1" applyAlignment="1">
      <alignment horizontal="center"/>
    </xf>
    <xf numFmtId="167" fontId="1" fillId="5" borderId="0" xfId="0" applyNumberFormat="1" applyFont="1" applyFill="1" applyAlignment="1">
      <alignment horizontal="center"/>
    </xf>
    <xf numFmtId="164" fontId="6" fillId="5" borderId="0" xfId="0" applyNumberFormat="1" applyFont="1" applyFill="1"/>
    <xf numFmtId="165" fontId="5" fillId="9" borderId="0" xfId="0" applyNumberFormat="1" applyFont="1" applyFill="1" applyAlignment="1">
      <alignment horizontal="right"/>
    </xf>
    <xf numFmtId="3" fontId="5" fillId="11" borderId="0" xfId="0" applyNumberFormat="1" applyFont="1" applyFill="1" applyAlignment="1">
      <alignment horizontal="center"/>
    </xf>
    <xf numFmtId="0" fontId="6" fillId="11" borderId="0" xfId="0" applyFont="1" applyFill="1"/>
    <xf numFmtId="168" fontId="5" fillId="9" borderId="0" xfId="0" applyNumberFormat="1" applyFont="1" applyFill="1" applyAlignment="1">
      <alignment horizontal="center"/>
    </xf>
    <xf numFmtId="3" fontId="5" fillId="8" borderId="0" xfId="0" applyNumberFormat="1" applyFont="1" applyFill="1" applyAlignment="1">
      <alignment horizontal="right"/>
    </xf>
    <xf numFmtId="0" fontId="12" fillId="5" borderId="0" xfId="0" applyFont="1" applyFill="1"/>
    <xf numFmtId="2" fontId="5" fillId="9" borderId="0" xfId="0" applyNumberFormat="1" applyFont="1" applyFill="1" applyAlignment="1">
      <alignment horizontal="right"/>
    </xf>
    <xf numFmtId="2" fontId="5" fillId="9" borderId="0" xfId="0" applyNumberFormat="1" applyFont="1" applyFill="1" applyAlignment="1">
      <alignment horizontal="center"/>
    </xf>
    <xf numFmtId="0" fontId="5" fillId="16" borderId="0" xfId="0" applyFont="1" applyFill="1"/>
    <xf numFmtId="2" fontId="13" fillId="11" borderId="0" xfId="0" applyNumberFormat="1" applyFont="1" applyFill="1" applyAlignment="1">
      <alignment horizontal="right"/>
    </xf>
    <xf numFmtId="165" fontId="5" fillId="11" borderId="0" xfId="0" applyNumberFormat="1" applyFont="1" applyFill="1" applyAlignment="1">
      <alignment horizontal="right"/>
    </xf>
    <xf numFmtId="3" fontId="13" fillId="17" borderId="0" xfId="0" applyNumberFormat="1" applyFont="1" applyFill="1" applyAlignment="1">
      <alignment horizontal="center"/>
    </xf>
    <xf numFmtId="0" fontId="5" fillId="18" borderId="0" xfId="0" applyFont="1" applyFill="1"/>
    <xf numFmtId="2" fontId="13" fillId="18" borderId="0" xfId="0" applyNumberFormat="1" applyFont="1" applyFill="1" applyAlignment="1">
      <alignment horizontal="right"/>
    </xf>
    <xf numFmtId="165" fontId="5" fillId="18" borderId="0" xfId="0" applyNumberFormat="1" applyFont="1" applyFill="1" applyAlignment="1">
      <alignment horizontal="right"/>
    </xf>
    <xf numFmtId="3" fontId="13" fillId="19" borderId="0" xfId="0" applyNumberFormat="1" applyFont="1" applyFill="1" applyAlignment="1">
      <alignment horizontal="center"/>
    </xf>
    <xf numFmtId="3" fontId="5" fillId="5" borderId="0" xfId="0" applyNumberFormat="1" applyFont="1" applyFill="1" applyAlignment="1">
      <alignment horizontal="center"/>
    </xf>
    <xf numFmtId="4" fontId="5" fillId="8" borderId="0" xfId="0" applyNumberFormat="1" applyFont="1" applyFill="1" applyAlignment="1">
      <alignment horizontal="center"/>
    </xf>
    <xf numFmtId="4" fontId="5" fillId="9" borderId="0" xfId="0" applyNumberFormat="1" applyFont="1" applyFill="1" applyAlignment="1">
      <alignment horizontal="center"/>
    </xf>
    <xf numFmtId="165" fontId="5" fillId="9" borderId="0" xfId="0" applyNumberFormat="1" applyFont="1" applyFill="1" applyAlignment="1">
      <alignment horizontal="center"/>
    </xf>
    <xf numFmtId="0" fontId="1" fillId="2" borderId="0" xfId="0" applyFont="1" applyFill="1" applyAlignment="1">
      <alignment horizontal="left" vertical="center" wrapText="1"/>
    </xf>
    <xf numFmtId="0" fontId="0" fillId="0" borderId="0" xfId="0"/>
    <xf numFmtId="0" fontId="1" fillId="3" borderId="0" xfId="0" applyFont="1" applyFill="1" applyAlignment="1">
      <alignment horizontal="center" vertical="center" wrapText="1"/>
    </xf>
    <xf numFmtId="0" fontId="1" fillId="3" borderId="0" xfId="0" applyFont="1" applyFill="1" applyAlignment="1">
      <alignment vertical="center" wrapText="1"/>
    </xf>
    <xf numFmtId="0" fontId="1" fillId="4" borderId="0" xfId="0" applyFont="1" applyFill="1"/>
    <xf numFmtId="0" fontId="1" fillId="3" borderId="0" xfId="0" applyFont="1" applyFill="1" applyAlignment="1">
      <alignment vertical="center"/>
    </xf>
    <xf numFmtId="0" fontId="5" fillId="6" borderId="0" xfId="0" applyFont="1" applyFill="1"/>
    <xf numFmtId="0" fontId="5" fillId="9" borderId="0" xfId="0" applyFont="1" applyFill="1"/>
    <xf numFmtId="0" fontId="3" fillId="5" borderId="0" xfId="0" applyFont="1" applyFill="1" applyAlignment="1">
      <alignment horizontal="center"/>
    </xf>
    <xf numFmtId="0" fontId="1" fillId="6" borderId="0" xfId="0" applyFont="1" applyFill="1" applyAlignment="1">
      <alignment horizontal="center"/>
    </xf>
    <xf numFmtId="0" fontId="4" fillId="5" borderId="0" xfId="0" applyFont="1" applyFill="1" applyAlignment="1">
      <alignment horizontal="center"/>
    </xf>
    <xf numFmtId="0" fontId="1" fillId="5" borderId="0" xfId="0" applyFont="1" applyFill="1" applyAlignment="1">
      <alignment horizontal="center"/>
    </xf>
    <xf numFmtId="0" fontId="1" fillId="9" borderId="0" xfId="0" applyFont="1" applyFill="1" applyAlignment="1">
      <alignment horizontal="center"/>
    </xf>
    <xf numFmtId="3" fontId="5" fillId="12" borderId="0" xfId="0" applyNumberFormat="1" applyFont="1" applyFill="1" applyAlignment="1">
      <alignment horizontal="center"/>
    </xf>
    <xf numFmtId="0" fontId="5" fillId="7" borderId="0" xfId="0" applyFont="1" applyFill="1" applyAlignment="1">
      <alignment horizontal="center"/>
    </xf>
    <xf numFmtId="0" fontId="1" fillId="6" borderId="0" xfId="0" applyFont="1" applyFill="1"/>
    <xf numFmtId="0" fontId="6" fillId="7" borderId="0" xfId="0" applyFont="1" applyFill="1" applyAlignment="1">
      <alignment horizontal="center"/>
    </xf>
    <xf numFmtId="0" fontId="7" fillId="6" borderId="0" xfId="0" applyFont="1" applyFill="1"/>
    <xf numFmtId="0" fontId="5" fillId="8" borderId="0" xfId="0" applyFont="1" applyFill="1" applyAlignment="1">
      <alignment horizontal="center"/>
    </xf>
    <xf numFmtId="0" fontId="5" fillId="5" borderId="0" xfId="0" applyFont="1" applyFill="1"/>
    <xf numFmtId="0" fontId="4" fillId="5" borderId="0" xfId="0" applyFont="1" applyFill="1"/>
    <xf numFmtId="0" fontId="5" fillId="5" borderId="0" xfId="0" applyFont="1" applyFill="1" applyAlignment="1">
      <alignment horizontal="center"/>
    </xf>
    <xf numFmtId="0" fontId="6" fillId="9" borderId="0" xfId="0" applyFont="1" applyFill="1"/>
    <xf numFmtId="3" fontId="5" fillId="9" borderId="0" xfId="0" applyNumberFormat="1" applyFont="1" applyFill="1" applyAlignment="1">
      <alignment horizontal="center"/>
    </xf>
    <xf numFmtId="0" fontId="3" fillId="9" borderId="0" xfId="0" applyFont="1" applyFill="1" applyAlignment="1">
      <alignment horizontal="center"/>
    </xf>
    <xf numFmtId="0" fontId="8" fillId="11" borderId="0" xfId="0" applyFont="1" applyFill="1" applyAlignment="1">
      <alignment horizontal="center"/>
    </xf>
    <xf numFmtId="0" fontId="1" fillId="11" borderId="0" xfId="0" applyFont="1" applyFill="1" applyAlignment="1">
      <alignment horizontal="center"/>
    </xf>
    <xf numFmtId="0" fontId="1" fillId="14" borderId="0" xfId="0" applyFont="1" applyFill="1" applyAlignment="1">
      <alignment horizontal="center"/>
    </xf>
    <xf numFmtId="3" fontId="5" fillId="11" borderId="0" xfId="0" applyNumberFormat="1" applyFont="1" applyFill="1" applyAlignment="1">
      <alignment horizontal="center"/>
    </xf>
    <xf numFmtId="3" fontId="7" fillId="6" borderId="0" xfId="0" applyNumberFormat="1" applyFont="1" applyFill="1" applyAlignment="1">
      <alignment horizontal="center"/>
    </xf>
    <xf numFmtId="0" fontId="14" fillId="0" borderId="1" xfId="0" applyFont="1" applyBorder="1"/>
    <xf numFmtId="0" fontId="11" fillId="14" borderId="0" xfId="0" applyFont="1" applyFill="1" applyAlignment="1">
      <alignment horizontal="center" vertical="center"/>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152400</xdr:colOff>
      <xdr:row>64</xdr:row>
      <xdr:rowOff>152400</xdr:rowOff>
    </xdr:from>
    <xdr:ext cx="2219325" cy="375285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152400</xdr:colOff>
      <xdr:row>84</xdr:row>
      <xdr:rowOff>152400</xdr:rowOff>
    </xdr:from>
    <xdr:ext cx="2562225" cy="3333750"/>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952500</xdr:colOff>
      <xdr:row>102</xdr:row>
      <xdr:rowOff>133350</xdr:rowOff>
    </xdr:from>
    <xdr:ext cx="2886075" cy="1695450"/>
    <xdr:pic>
      <xdr:nvPicPr>
        <xdr:cNvPr id="4" name="image6.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6</xdr:row>
      <xdr:rowOff>0</xdr:rowOff>
    </xdr:from>
    <xdr:ext cx="704850" cy="200025"/>
    <xdr:pic>
      <xdr:nvPicPr>
        <xdr:cNvPr id="5" name="image4.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29</xdr:row>
      <xdr:rowOff>0</xdr:rowOff>
    </xdr:from>
    <xdr:ext cx="200025" cy="200025"/>
    <xdr:pic>
      <xdr:nvPicPr>
        <xdr:cNvPr id="6" name="image5.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0</xdr:colOff>
      <xdr:row>49</xdr:row>
      <xdr:rowOff>0</xdr:rowOff>
    </xdr:from>
    <xdr:ext cx="152400" cy="200025"/>
    <xdr:pic>
      <xdr:nvPicPr>
        <xdr:cNvPr id="7" name="image2.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0"/>
  <sheetViews>
    <sheetView topLeftCell="A16" workbookViewId="0">
      <selection sqref="A1:K50"/>
    </sheetView>
  </sheetViews>
  <sheetFormatPr defaultColWidth="12.6640625" defaultRowHeight="15.75" customHeight="1" x14ac:dyDescent="0.25"/>
  <sheetData>
    <row r="1" spans="1:11" x14ac:dyDescent="0.25">
      <c r="A1" s="73" t="s">
        <v>0</v>
      </c>
      <c r="B1" s="74"/>
      <c r="C1" s="74"/>
      <c r="D1" s="74"/>
      <c r="E1" s="74"/>
      <c r="F1" s="74"/>
      <c r="G1" s="74"/>
      <c r="H1" s="74"/>
      <c r="I1" s="74"/>
      <c r="J1" s="74"/>
      <c r="K1" s="74"/>
    </row>
    <row r="2" spans="1:11" ht="15.75" customHeight="1" x14ac:dyDescent="0.25">
      <c r="A2" s="74"/>
      <c r="B2" s="74"/>
      <c r="C2" s="74"/>
      <c r="D2" s="74"/>
      <c r="E2" s="74"/>
      <c r="F2" s="74"/>
      <c r="G2" s="74"/>
      <c r="H2" s="74"/>
      <c r="I2" s="74"/>
      <c r="J2" s="74"/>
      <c r="K2" s="74"/>
    </row>
    <row r="3" spans="1:11" ht="15.75" customHeight="1" x14ac:dyDescent="0.25">
      <c r="A3" s="74"/>
      <c r="B3" s="74"/>
      <c r="C3" s="74"/>
      <c r="D3" s="74"/>
      <c r="E3" s="74"/>
      <c r="F3" s="74"/>
      <c r="G3" s="74"/>
      <c r="H3" s="74"/>
      <c r="I3" s="74"/>
      <c r="J3" s="74"/>
      <c r="K3" s="74"/>
    </row>
    <row r="4" spans="1:11" ht="15.75" customHeight="1" x14ac:dyDescent="0.25">
      <c r="A4" s="74"/>
      <c r="B4" s="74"/>
      <c r="C4" s="74"/>
      <c r="D4" s="74"/>
      <c r="E4" s="74"/>
      <c r="F4" s="74"/>
      <c r="G4" s="74"/>
      <c r="H4" s="74"/>
      <c r="I4" s="74"/>
      <c r="J4" s="74"/>
      <c r="K4" s="74"/>
    </row>
    <row r="5" spans="1:11" ht="15.75" customHeight="1" x14ac:dyDescent="0.25">
      <c r="A5" s="74"/>
      <c r="B5" s="74"/>
      <c r="C5" s="74"/>
      <c r="D5" s="74"/>
      <c r="E5" s="74"/>
      <c r="F5" s="74"/>
      <c r="G5" s="74"/>
      <c r="H5" s="74"/>
      <c r="I5" s="74"/>
      <c r="J5" s="74"/>
      <c r="K5" s="74"/>
    </row>
    <row r="6" spans="1:11" ht="15.75" customHeight="1" x14ac:dyDescent="0.25">
      <c r="A6" s="74"/>
      <c r="B6" s="74"/>
      <c r="C6" s="74"/>
      <c r="D6" s="74"/>
      <c r="E6" s="74"/>
      <c r="F6" s="74"/>
      <c r="G6" s="74"/>
      <c r="H6" s="74"/>
      <c r="I6" s="74"/>
      <c r="J6" s="74"/>
      <c r="K6" s="74"/>
    </row>
    <row r="7" spans="1:11" ht="15.75" customHeight="1" x14ac:dyDescent="0.25">
      <c r="A7" s="74"/>
      <c r="B7" s="74"/>
      <c r="C7" s="74"/>
      <c r="D7" s="74"/>
      <c r="E7" s="74"/>
      <c r="F7" s="74"/>
      <c r="G7" s="74"/>
      <c r="H7" s="74"/>
      <c r="I7" s="74"/>
      <c r="J7" s="74"/>
      <c r="K7" s="74"/>
    </row>
    <row r="8" spans="1:11" ht="15.75" customHeight="1" x14ac:dyDescent="0.25">
      <c r="A8" s="74"/>
      <c r="B8" s="74"/>
      <c r="C8" s="74"/>
      <c r="D8" s="74"/>
      <c r="E8" s="74"/>
      <c r="F8" s="74"/>
      <c r="G8" s="74"/>
      <c r="H8" s="74"/>
      <c r="I8" s="74"/>
      <c r="J8" s="74"/>
      <c r="K8" s="74"/>
    </row>
    <row r="9" spans="1:11" ht="15.75" customHeight="1" x14ac:dyDescent="0.25">
      <c r="A9" s="74"/>
      <c r="B9" s="74"/>
      <c r="C9" s="74"/>
      <c r="D9" s="74"/>
      <c r="E9" s="74"/>
      <c r="F9" s="74"/>
      <c r="G9" s="74"/>
      <c r="H9" s="74"/>
      <c r="I9" s="74"/>
      <c r="J9" s="74"/>
      <c r="K9" s="74"/>
    </row>
    <row r="10" spans="1:11" ht="15.75" customHeight="1" x14ac:dyDescent="0.25">
      <c r="A10" s="74"/>
      <c r="B10" s="74"/>
      <c r="C10" s="74"/>
      <c r="D10" s="74"/>
      <c r="E10" s="74"/>
      <c r="F10" s="74"/>
      <c r="G10" s="74"/>
      <c r="H10" s="74"/>
      <c r="I10" s="74"/>
      <c r="J10" s="74"/>
      <c r="K10" s="74"/>
    </row>
    <row r="11" spans="1:11" ht="15.75" customHeight="1" x14ac:dyDescent="0.25">
      <c r="A11" s="74"/>
      <c r="B11" s="74"/>
      <c r="C11" s="74"/>
      <c r="D11" s="74"/>
      <c r="E11" s="74"/>
      <c r="F11" s="74"/>
      <c r="G11" s="74"/>
      <c r="H11" s="74"/>
      <c r="I11" s="74"/>
      <c r="J11" s="74"/>
      <c r="K11" s="74"/>
    </row>
    <row r="12" spans="1:11" ht="15.75" customHeight="1" x14ac:dyDescent="0.25">
      <c r="A12" s="74"/>
      <c r="B12" s="74"/>
      <c r="C12" s="74"/>
      <c r="D12" s="74"/>
      <c r="E12" s="74"/>
      <c r="F12" s="74"/>
      <c r="G12" s="74"/>
      <c r="H12" s="74"/>
      <c r="I12" s="74"/>
      <c r="J12" s="74"/>
      <c r="K12" s="74"/>
    </row>
    <row r="13" spans="1:11" ht="15.75" customHeight="1" x14ac:dyDescent="0.25">
      <c r="A13" s="74"/>
      <c r="B13" s="74"/>
      <c r="C13" s="74"/>
      <c r="D13" s="74"/>
      <c r="E13" s="74"/>
      <c r="F13" s="74"/>
      <c r="G13" s="74"/>
      <c r="H13" s="74"/>
      <c r="I13" s="74"/>
      <c r="J13" s="74"/>
      <c r="K13" s="74"/>
    </row>
    <row r="14" spans="1:11" ht="15.75" customHeight="1" x14ac:dyDescent="0.25">
      <c r="A14" s="74"/>
      <c r="B14" s="74"/>
      <c r="C14" s="74"/>
      <c r="D14" s="74"/>
      <c r="E14" s="74"/>
      <c r="F14" s="74"/>
      <c r="G14" s="74"/>
      <c r="H14" s="74"/>
      <c r="I14" s="74"/>
      <c r="J14" s="74"/>
      <c r="K14" s="74"/>
    </row>
    <row r="15" spans="1:11" ht="15.75" customHeight="1" x14ac:dyDescent="0.25">
      <c r="A15" s="74"/>
      <c r="B15" s="74"/>
      <c r="C15" s="74"/>
      <c r="D15" s="74"/>
      <c r="E15" s="74"/>
      <c r="F15" s="74"/>
      <c r="G15" s="74"/>
      <c r="H15" s="74"/>
      <c r="I15" s="74"/>
      <c r="J15" s="74"/>
      <c r="K15" s="74"/>
    </row>
    <row r="16" spans="1:11" ht="15.75" customHeight="1" x14ac:dyDescent="0.25">
      <c r="A16" s="74"/>
      <c r="B16" s="74"/>
      <c r="C16" s="74"/>
      <c r="D16" s="74"/>
      <c r="E16" s="74"/>
      <c r="F16" s="74"/>
      <c r="G16" s="74"/>
      <c r="H16" s="74"/>
      <c r="I16" s="74"/>
      <c r="J16" s="74"/>
      <c r="K16" s="74"/>
    </row>
    <row r="17" spans="1:11" ht="15.75" customHeight="1" x14ac:dyDescent="0.25">
      <c r="A17" s="74"/>
      <c r="B17" s="74"/>
      <c r="C17" s="74"/>
      <c r="D17" s="74"/>
      <c r="E17" s="74"/>
      <c r="F17" s="74"/>
      <c r="G17" s="74"/>
      <c r="H17" s="74"/>
      <c r="I17" s="74"/>
      <c r="J17" s="74"/>
      <c r="K17" s="74"/>
    </row>
    <row r="18" spans="1:11" ht="15.75" customHeight="1" x14ac:dyDescent="0.25">
      <c r="A18" s="74"/>
      <c r="B18" s="74"/>
      <c r="C18" s="74"/>
      <c r="D18" s="74"/>
      <c r="E18" s="74"/>
      <c r="F18" s="74"/>
      <c r="G18" s="74"/>
      <c r="H18" s="74"/>
      <c r="I18" s="74"/>
      <c r="J18" s="74"/>
      <c r="K18" s="74"/>
    </row>
    <row r="19" spans="1:11" ht="15.75" customHeight="1" x14ac:dyDescent="0.25">
      <c r="A19" s="74"/>
      <c r="B19" s="74"/>
      <c r="C19" s="74"/>
      <c r="D19" s="74"/>
      <c r="E19" s="74"/>
      <c r="F19" s="74"/>
      <c r="G19" s="74"/>
      <c r="H19" s="74"/>
      <c r="I19" s="74"/>
      <c r="J19" s="74"/>
      <c r="K19" s="74"/>
    </row>
    <row r="20" spans="1:11" ht="15.75" customHeight="1" x14ac:dyDescent="0.25">
      <c r="A20" s="74"/>
      <c r="B20" s="74"/>
      <c r="C20" s="74"/>
      <c r="D20" s="74"/>
      <c r="E20" s="74"/>
      <c r="F20" s="74"/>
      <c r="G20" s="74"/>
      <c r="H20" s="74"/>
      <c r="I20" s="74"/>
      <c r="J20" s="74"/>
      <c r="K20" s="74"/>
    </row>
    <row r="21" spans="1:11" ht="15.75" customHeight="1" x14ac:dyDescent="0.25">
      <c r="A21" s="74"/>
      <c r="B21" s="74"/>
      <c r="C21" s="74"/>
      <c r="D21" s="74"/>
      <c r="E21" s="74"/>
      <c r="F21" s="74"/>
      <c r="G21" s="74"/>
      <c r="H21" s="74"/>
      <c r="I21" s="74"/>
      <c r="J21" s="74"/>
      <c r="K21" s="74"/>
    </row>
    <row r="22" spans="1:11" ht="15.75" customHeight="1" x14ac:dyDescent="0.25">
      <c r="A22" s="74"/>
      <c r="B22" s="74"/>
      <c r="C22" s="74"/>
      <c r="D22" s="74"/>
      <c r="E22" s="74"/>
      <c r="F22" s="74"/>
      <c r="G22" s="74"/>
      <c r="H22" s="74"/>
      <c r="I22" s="74"/>
      <c r="J22" s="74"/>
      <c r="K22" s="74"/>
    </row>
    <row r="23" spans="1:11" ht="15.75" customHeight="1" x14ac:dyDescent="0.25">
      <c r="A23" s="74"/>
      <c r="B23" s="74"/>
      <c r="C23" s="74"/>
      <c r="D23" s="74"/>
      <c r="E23" s="74"/>
      <c r="F23" s="74"/>
      <c r="G23" s="74"/>
      <c r="H23" s="74"/>
      <c r="I23" s="74"/>
      <c r="J23" s="74"/>
      <c r="K23" s="74"/>
    </row>
    <row r="24" spans="1:11" ht="15.75" customHeight="1" x14ac:dyDescent="0.25">
      <c r="A24" s="74"/>
      <c r="B24" s="74"/>
      <c r="C24" s="74"/>
      <c r="D24" s="74"/>
      <c r="E24" s="74"/>
      <c r="F24" s="74"/>
      <c r="G24" s="74"/>
      <c r="H24" s="74"/>
      <c r="I24" s="74"/>
      <c r="J24" s="74"/>
      <c r="K24" s="74"/>
    </row>
    <row r="25" spans="1:11" ht="15.75" customHeight="1" x14ac:dyDescent="0.25">
      <c r="A25" s="74"/>
      <c r="B25" s="74"/>
      <c r="C25" s="74"/>
      <c r="D25" s="74"/>
      <c r="E25" s="74"/>
      <c r="F25" s="74"/>
      <c r="G25" s="74"/>
      <c r="H25" s="74"/>
      <c r="I25" s="74"/>
      <c r="J25" s="74"/>
      <c r="K25" s="74"/>
    </row>
    <row r="26" spans="1:11" ht="15.75" customHeight="1" x14ac:dyDescent="0.25">
      <c r="A26" s="74"/>
      <c r="B26" s="74"/>
      <c r="C26" s="74"/>
      <c r="D26" s="74"/>
      <c r="E26" s="74"/>
      <c r="F26" s="74"/>
      <c r="G26" s="74"/>
      <c r="H26" s="74"/>
      <c r="I26" s="74"/>
      <c r="J26" s="74"/>
      <c r="K26" s="74"/>
    </row>
    <row r="27" spans="1:11" ht="15.75" customHeight="1" x14ac:dyDescent="0.25">
      <c r="A27" s="74"/>
      <c r="B27" s="74"/>
      <c r="C27" s="74"/>
      <c r="D27" s="74"/>
      <c r="E27" s="74"/>
      <c r="F27" s="74"/>
      <c r="G27" s="74"/>
      <c r="H27" s="74"/>
      <c r="I27" s="74"/>
      <c r="J27" s="74"/>
      <c r="K27" s="74"/>
    </row>
    <row r="28" spans="1:11" ht="15.75" customHeight="1" x14ac:dyDescent="0.25">
      <c r="A28" s="74"/>
      <c r="B28" s="74"/>
      <c r="C28" s="74"/>
      <c r="D28" s="74"/>
      <c r="E28" s="74"/>
      <c r="F28" s="74"/>
      <c r="G28" s="74"/>
      <c r="H28" s="74"/>
      <c r="I28" s="74"/>
      <c r="J28" s="74"/>
      <c r="K28" s="74"/>
    </row>
    <row r="29" spans="1:11" ht="15.75" customHeight="1" x14ac:dyDescent="0.25">
      <c r="A29" s="74"/>
      <c r="B29" s="74"/>
      <c r="C29" s="74"/>
      <c r="D29" s="74"/>
      <c r="E29" s="74"/>
      <c r="F29" s="74"/>
      <c r="G29" s="74"/>
      <c r="H29" s="74"/>
      <c r="I29" s="74"/>
      <c r="J29" s="74"/>
      <c r="K29" s="74"/>
    </row>
    <row r="30" spans="1:11" ht="15.75" customHeight="1" x14ac:dyDescent="0.25">
      <c r="A30" s="74"/>
      <c r="B30" s="74"/>
      <c r="C30" s="74"/>
      <c r="D30" s="74"/>
      <c r="E30" s="74"/>
      <c r="F30" s="74"/>
      <c r="G30" s="74"/>
      <c r="H30" s="74"/>
      <c r="I30" s="74"/>
      <c r="J30" s="74"/>
      <c r="K30" s="74"/>
    </row>
    <row r="31" spans="1:11" ht="15.75" customHeight="1" x14ac:dyDescent="0.25">
      <c r="A31" s="74"/>
      <c r="B31" s="74"/>
      <c r="C31" s="74"/>
      <c r="D31" s="74"/>
      <c r="E31" s="74"/>
      <c r="F31" s="74"/>
      <c r="G31" s="74"/>
      <c r="H31" s="74"/>
      <c r="I31" s="74"/>
      <c r="J31" s="74"/>
      <c r="K31" s="74"/>
    </row>
    <row r="32" spans="1:11" ht="15.75" customHeight="1" x14ac:dyDescent="0.25">
      <c r="A32" s="74"/>
      <c r="B32" s="74"/>
      <c r="C32" s="74"/>
      <c r="D32" s="74"/>
      <c r="E32" s="74"/>
      <c r="F32" s="74"/>
      <c r="G32" s="74"/>
      <c r="H32" s="74"/>
      <c r="I32" s="74"/>
      <c r="J32" s="74"/>
      <c r="K32" s="74"/>
    </row>
    <row r="33" spans="1:11" ht="15.75" customHeight="1" x14ac:dyDescent="0.25">
      <c r="A33" s="74"/>
      <c r="B33" s="74"/>
      <c r="C33" s="74"/>
      <c r="D33" s="74"/>
      <c r="E33" s="74"/>
      <c r="F33" s="74"/>
      <c r="G33" s="74"/>
      <c r="H33" s="74"/>
      <c r="I33" s="74"/>
      <c r="J33" s="74"/>
      <c r="K33" s="74"/>
    </row>
    <row r="34" spans="1:11" ht="15.75" customHeight="1" x14ac:dyDescent="0.25">
      <c r="A34" s="74"/>
      <c r="B34" s="74"/>
      <c r="C34" s="74"/>
      <c r="D34" s="74"/>
      <c r="E34" s="74"/>
      <c r="F34" s="74"/>
      <c r="G34" s="74"/>
      <c r="H34" s="74"/>
      <c r="I34" s="74"/>
      <c r="J34" s="74"/>
      <c r="K34" s="74"/>
    </row>
    <row r="35" spans="1:11" ht="15.75" customHeight="1" x14ac:dyDescent="0.25">
      <c r="A35" s="74"/>
      <c r="B35" s="74"/>
      <c r="C35" s="74"/>
      <c r="D35" s="74"/>
      <c r="E35" s="74"/>
      <c r="F35" s="74"/>
      <c r="G35" s="74"/>
      <c r="H35" s="74"/>
      <c r="I35" s="74"/>
      <c r="J35" s="74"/>
      <c r="K35" s="74"/>
    </row>
    <row r="36" spans="1:11" ht="15.75" customHeight="1" x14ac:dyDescent="0.25">
      <c r="A36" s="74"/>
      <c r="B36" s="74"/>
      <c r="C36" s="74"/>
      <c r="D36" s="74"/>
      <c r="E36" s="74"/>
      <c r="F36" s="74"/>
      <c r="G36" s="74"/>
      <c r="H36" s="74"/>
      <c r="I36" s="74"/>
      <c r="J36" s="74"/>
      <c r="K36" s="74"/>
    </row>
    <row r="37" spans="1:11" ht="15.75" customHeight="1" x14ac:dyDescent="0.25">
      <c r="A37" s="74"/>
      <c r="B37" s="74"/>
      <c r="C37" s="74"/>
      <c r="D37" s="74"/>
      <c r="E37" s="74"/>
      <c r="F37" s="74"/>
      <c r="G37" s="74"/>
      <c r="H37" s="74"/>
      <c r="I37" s="74"/>
      <c r="J37" s="74"/>
      <c r="K37" s="74"/>
    </row>
    <row r="38" spans="1:11" ht="15.75" customHeight="1" x14ac:dyDescent="0.25">
      <c r="A38" s="74"/>
      <c r="B38" s="74"/>
      <c r="C38" s="74"/>
      <c r="D38" s="74"/>
      <c r="E38" s="74"/>
      <c r="F38" s="74"/>
      <c r="G38" s="74"/>
      <c r="H38" s="74"/>
      <c r="I38" s="74"/>
      <c r="J38" s="74"/>
      <c r="K38" s="74"/>
    </row>
    <row r="39" spans="1:11" ht="15.75" customHeight="1" x14ac:dyDescent="0.25">
      <c r="A39" s="74"/>
      <c r="B39" s="74"/>
      <c r="C39" s="74"/>
      <c r="D39" s="74"/>
      <c r="E39" s="74"/>
      <c r="F39" s="74"/>
      <c r="G39" s="74"/>
      <c r="H39" s="74"/>
      <c r="I39" s="74"/>
      <c r="J39" s="74"/>
      <c r="K39" s="74"/>
    </row>
    <row r="40" spans="1:11" ht="15.75" customHeight="1" x14ac:dyDescent="0.25">
      <c r="A40" s="74"/>
      <c r="B40" s="74"/>
      <c r="C40" s="74"/>
      <c r="D40" s="74"/>
      <c r="E40" s="74"/>
      <c r="F40" s="74"/>
      <c r="G40" s="74"/>
      <c r="H40" s="74"/>
      <c r="I40" s="74"/>
      <c r="J40" s="74"/>
      <c r="K40" s="74"/>
    </row>
    <row r="41" spans="1:11" ht="15.75" customHeight="1" x14ac:dyDescent="0.25">
      <c r="A41" s="74"/>
      <c r="B41" s="74"/>
      <c r="C41" s="74"/>
      <c r="D41" s="74"/>
      <c r="E41" s="74"/>
      <c r="F41" s="74"/>
      <c r="G41" s="74"/>
      <c r="H41" s="74"/>
      <c r="I41" s="74"/>
      <c r="J41" s="74"/>
      <c r="K41" s="74"/>
    </row>
    <row r="42" spans="1:11" ht="15.75" customHeight="1" x14ac:dyDescent="0.25">
      <c r="A42" s="74"/>
      <c r="B42" s="74"/>
      <c r="C42" s="74"/>
      <c r="D42" s="74"/>
      <c r="E42" s="74"/>
      <c r="F42" s="74"/>
      <c r="G42" s="74"/>
      <c r="H42" s="74"/>
      <c r="I42" s="74"/>
      <c r="J42" s="74"/>
      <c r="K42" s="74"/>
    </row>
    <row r="43" spans="1:11" ht="15.75" customHeight="1" x14ac:dyDescent="0.25">
      <c r="A43" s="74"/>
      <c r="B43" s="74"/>
      <c r="C43" s="74"/>
      <c r="D43" s="74"/>
      <c r="E43" s="74"/>
      <c r="F43" s="74"/>
      <c r="G43" s="74"/>
      <c r="H43" s="74"/>
      <c r="I43" s="74"/>
      <c r="J43" s="74"/>
      <c r="K43" s="74"/>
    </row>
    <row r="44" spans="1:11" ht="15.75" customHeight="1" x14ac:dyDescent="0.25">
      <c r="A44" s="74"/>
      <c r="B44" s="74"/>
      <c r="C44" s="74"/>
      <c r="D44" s="74"/>
      <c r="E44" s="74"/>
      <c r="F44" s="74"/>
      <c r="G44" s="74"/>
      <c r="H44" s="74"/>
      <c r="I44" s="74"/>
      <c r="J44" s="74"/>
      <c r="K44" s="74"/>
    </row>
    <row r="45" spans="1:11" ht="15.75" customHeight="1" x14ac:dyDescent="0.25">
      <c r="A45" s="74"/>
      <c r="B45" s="74"/>
      <c r="C45" s="74"/>
      <c r="D45" s="74"/>
      <c r="E45" s="74"/>
      <c r="F45" s="74"/>
      <c r="G45" s="74"/>
      <c r="H45" s="74"/>
      <c r="I45" s="74"/>
      <c r="J45" s="74"/>
      <c r="K45" s="74"/>
    </row>
    <row r="46" spans="1:11" ht="15.75" customHeight="1" x14ac:dyDescent="0.25">
      <c r="A46" s="74"/>
      <c r="B46" s="74"/>
      <c r="C46" s="74"/>
      <c r="D46" s="74"/>
      <c r="E46" s="74"/>
      <c r="F46" s="74"/>
      <c r="G46" s="74"/>
      <c r="H46" s="74"/>
      <c r="I46" s="74"/>
      <c r="J46" s="74"/>
      <c r="K46" s="74"/>
    </row>
    <row r="47" spans="1:11" ht="15.75" customHeight="1" x14ac:dyDescent="0.25">
      <c r="A47" s="74"/>
      <c r="B47" s="74"/>
      <c r="C47" s="74"/>
      <c r="D47" s="74"/>
      <c r="E47" s="74"/>
      <c r="F47" s="74"/>
      <c r="G47" s="74"/>
      <c r="H47" s="74"/>
      <c r="I47" s="74"/>
      <c r="J47" s="74"/>
      <c r="K47" s="74"/>
    </row>
    <row r="48" spans="1:11" ht="15.75" customHeight="1" x14ac:dyDescent="0.25">
      <c r="A48" s="74"/>
      <c r="B48" s="74"/>
      <c r="C48" s="74"/>
      <c r="D48" s="74"/>
      <c r="E48" s="74"/>
      <c r="F48" s="74"/>
      <c r="G48" s="74"/>
      <c r="H48" s="74"/>
      <c r="I48" s="74"/>
      <c r="J48" s="74"/>
      <c r="K48" s="74"/>
    </row>
    <row r="49" spans="1:11" ht="15.75" customHeight="1" x14ac:dyDescent="0.25">
      <c r="A49" s="74"/>
      <c r="B49" s="74"/>
      <c r="C49" s="74"/>
      <c r="D49" s="74"/>
      <c r="E49" s="74"/>
      <c r="F49" s="74"/>
      <c r="G49" s="74"/>
      <c r="H49" s="74"/>
      <c r="I49" s="74"/>
      <c r="J49" s="74"/>
      <c r="K49" s="74"/>
    </row>
    <row r="50" spans="1:11" ht="15.75" customHeight="1" x14ac:dyDescent="0.25">
      <c r="A50" s="74"/>
      <c r="B50" s="74"/>
      <c r="C50" s="74"/>
      <c r="D50" s="74"/>
      <c r="E50" s="74"/>
      <c r="F50" s="74"/>
      <c r="G50" s="74"/>
      <c r="H50" s="74"/>
      <c r="I50" s="74"/>
      <c r="J50" s="74"/>
      <c r="K50" s="74"/>
    </row>
  </sheetData>
  <mergeCells count="1">
    <mergeCell ref="A1:K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16"/>
  <sheetViews>
    <sheetView topLeftCell="A97" workbookViewId="0">
      <selection activeCell="A46" sqref="A46:E49"/>
    </sheetView>
  </sheetViews>
  <sheetFormatPr defaultColWidth="12.6640625" defaultRowHeight="15.75" customHeight="1" x14ac:dyDescent="0.25"/>
  <sheetData>
    <row r="1" spans="1:5" x14ac:dyDescent="0.25">
      <c r="A1" s="75" t="s">
        <v>1</v>
      </c>
      <c r="B1" s="74"/>
      <c r="C1" s="74"/>
      <c r="D1" s="74"/>
      <c r="E1" s="1"/>
    </row>
    <row r="2" spans="1:5" x14ac:dyDescent="0.25">
      <c r="A2" s="74"/>
      <c r="B2" s="74"/>
      <c r="C2" s="74"/>
      <c r="D2" s="74"/>
      <c r="E2" s="1"/>
    </row>
    <row r="3" spans="1:5" x14ac:dyDescent="0.25">
      <c r="A3" s="74"/>
      <c r="B3" s="74"/>
      <c r="C3" s="74"/>
      <c r="D3" s="74"/>
      <c r="E3" s="2"/>
    </row>
    <row r="4" spans="1:5" x14ac:dyDescent="0.25">
      <c r="A4" s="3"/>
      <c r="B4" s="76" t="s">
        <v>2</v>
      </c>
      <c r="C4" s="74"/>
      <c r="D4" s="2"/>
      <c r="E4" s="2"/>
    </row>
    <row r="5" spans="1:5" x14ac:dyDescent="0.25">
      <c r="A5" s="3"/>
      <c r="B5" s="74"/>
      <c r="C5" s="74"/>
      <c r="D5" s="2"/>
      <c r="E5" s="2"/>
    </row>
    <row r="6" spans="1:5" x14ac:dyDescent="0.25">
      <c r="A6" s="3"/>
      <c r="B6" s="74"/>
      <c r="C6" s="74"/>
      <c r="D6" s="2"/>
      <c r="E6" s="2"/>
    </row>
    <row r="7" spans="1:5" x14ac:dyDescent="0.25">
      <c r="A7" s="77"/>
      <c r="B7" s="74"/>
      <c r="C7" s="74"/>
      <c r="D7" s="74"/>
      <c r="E7" s="74"/>
    </row>
    <row r="8" spans="1:5" ht="15.75" customHeight="1" x14ac:dyDescent="0.25">
      <c r="A8" s="74"/>
      <c r="B8" s="74"/>
      <c r="C8" s="74"/>
      <c r="D8" s="74"/>
      <c r="E8" s="74"/>
    </row>
    <row r="9" spans="1:5" ht="15.75" customHeight="1" x14ac:dyDescent="0.25">
      <c r="A9" s="74"/>
      <c r="B9" s="74"/>
      <c r="C9" s="74"/>
      <c r="D9" s="74"/>
      <c r="E9" s="74"/>
    </row>
    <row r="10" spans="1:5" ht="15.75" customHeight="1" x14ac:dyDescent="0.25">
      <c r="A10" s="74"/>
      <c r="B10" s="74"/>
      <c r="C10" s="74"/>
      <c r="D10" s="74"/>
      <c r="E10" s="74"/>
    </row>
    <row r="11" spans="1:5" ht="15.75" customHeight="1" x14ac:dyDescent="0.25">
      <c r="A11" s="74"/>
      <c r="B11" s="74"/>
      <c r="C11" s="74"/>
      <c r="D11" s="74"/>
      <c r="E11" s="74"/>
    </row>
    <row r="12" spans="1:5" ht="15.75" customHeight="1" x14ac:dyDescent="0.25">
      <c r="A12" s="74"/>
      <c r="B12" s="74"/>
      <c r="C12" s="74"/>
      <c r="D12" s="74"/>
      <c r="E12" s="74"/>
    </row>
    <row r="13" spans="1:5" ht="15.75" customHeight="1" x14ac:dyDescent="0.25">
      <c r="A13" s="74"/>
      <c r="B13" s="74"/>
      <c r="C13" s="74"/>
      <c r="D13" s="74"/>
      <c r="E13" s="74"/>
    </row>
    <row r="14" spans="1:5" x14ac:dyDescent="0.25">
      <c r="A14" s="78" t="s">
        <v>3</v>
      </c>
      <c r="B14" s="74"/>
      <c r="C14" s="74"/>
      <c r="D14" s="74"/>
      <c r="E14" s="74"/>
    </row>
    <row r="15" spans="1:5" x14ac:dyDescent="0.25">
      <c r="A15" s="76" t="s">
        <v>4</v>
      </c>
      <c r="B15" s="74"/>
      <c r="C15" s="74"/>
      <c r="D15" s="74"/>
      <c r="E15" s="74"/>
    </row>
    <row r="16" spans="1:5" ht="15.75" customHeight="1" x14ac:dyDescent="0.25">
      <c r="A16" s="74"/>
      <c r="B16" s="74"/>
      <c r="C16" s="74"/>
      <c r="D16" s="74"/>
      <c r="E16" s="74"/>
    </row>
    <row r="17" spans="1:5" x14ac:dyDescent="0.25">
      <c r="A17" s="76" t="s">
        <v>5</v>
      </c>
      <c r="B17" s="74"/>
      <c r="C17" s="74"/>
      <c r="D17" s="74"/>
      <c r="E17" s="74"/>
    </row>
    <row r="18" spans="1:5" ht="15.75" customHeight="1" x14ac:dyDescent="0.25">
      <c r="A18" s="74"/>
      <c r="B18" s="74"/>
      <c r="C18" s="74"/>
      <c r="D18" s="74"/>
      <c r="E18" s="74"/>
    </row>
    <row r="19" spans="1:5" ht="15.75" customHeight="1" x14ac:dyDescent="0.25">
      <c r="A19" s="74"/>
      <c r="B19" s="74"/>
      <c r="C19" s="74"/>
      <c r="D19" s="74"/>
      <c r="E19" s="74"/>
    </row>
    <row r="20" spans="1:5" x14ac:dyDescent="0.25">
      <c r="A20" s="76" t="s">
        <v>6</v>
      </c>
      <c r="B20" s="74"/>
      <c r="C20" s="74"/>
      <c r="D20" s="74"/>
      <c r="E20" s="74"/>
    </row>
    <row r="21" spans="1:5" ht="15.75" customHeight="1" x14ac:dyDescent="0.25">
      <c r="A21" s="74"/>
      <c r="B21" s="74"/>
      <c r="C21" s="74"/>
      <c r="D21" s="74"/>
      <c r="E21" s="74"/>
    </row>
    <row r="22" spans="1:5" x14ac:dyDescent="0.25">
      <c r="A22" s="76" t="s">
        <v>7</v>
      </c>
      <c r="B22" s="74"/>
      <c r="C22" s="74"/>
      <c r="D22" s="74"/>
      <c r="E22" s="74"/>
    </row>
    <row r="23" spans="1:5" ht="15.75" customHeight="1" x14ac:dyDescent="0.25">
      <c r="A23" s="74"/>
      <c r="B23" s="74"/>
      <c r="C23" s="74"/>
      <c r="D23" s="74"/>
      <c r="E23" s="74"/>
    </row>
    <row r="24" spans="1:5" ht="15.75" customHeight="1" x14ac:dyDescent="0.25">
      <c r="A24" s="74"/>
      <c r="B24" s="74"/>
      <c r="C24" s="74"/>
      <c r="D24" s="74"/>
      <c r="E24" s="74"/>
    </row>
    <row r="25" spans="1:5" x14ac:dyDescent="0.25">
      <c r="A25" s="76" t="s">
        <v>8</v>
      </c>
      <c r="B25" s="74"/>
      <c r="C25" s="74"/>
      <c r="D25" s="74"/>
      <c r="E25" s="74"/>
    </row>
    <row r="26" spans="1:5" ht="15.75" customHeight="1" x14ac:dyDescent="0.25">
      <c r="A26" s="74"/>
      <c r="B26" s="74"/>
      <c r="C26" s="74"/>
      <c r="D26" s="74"/>
      <c r="E26" s="74"/>
    </row>
    <row r="27" spans="1:5" ht="15.75" customHeight="1" x14ac:dyDescent="0.25">
      <c r="A27" s="74"/>
      <c r="B27" s="74"/>
      <c r="C27" s="74"/>
      <c r="D27" s="74"/>
      <c r="E27" s="74"/>
    </row>
    <row r="28" spans="1:5" ht="15.75" customHeight="1" x14ac:dyDescent="0.25">
      <c r="A28" s="74"/>
      <c r="B28" s="74"/>
      <c r="C28" s="74"/>
      <c r="D28" s="74"/>
      <c r="E28" s="74"/>
    </row>
    <row r="29" spans="1:5" ht="15.75" customHeight="1" x14ac:dyDescent="0.25">
      <c r="A29" s="74"/>
      <c r="B29" s="74"/>
      <c r="C29" s="74"/>
      <c r="D29" s="74"/>
      <c r="E29" s="74"/>
    </row>
    <row r="30" spans="1:5" x14ac:dyDescent="0.25">
      <c r="A30" s="77"/>
      <c r="B30" s="74"/>
      <c r="C30" s="74"/>
      <c r="D30" s="74"/>
      <c r="E30" s="2"/>
    </row>
    <row r="31" spans="1:5" x14ac:dyDescent="0.25">
      <c r="A31" s="74"/>
      <c r="B31" s="74"/>
      <c r="C31" s="74"/>
      <c r="D31" s="74"/>
      <c r="E31" s="2"/>
    </row>
    <row r="32" spans="1:5" x14ac:dyDescent="0.25">
      <c r="A32" s="74"/>
      <c r="B32" s="74"/>
      <c r="C32" s="74"/>
      <c r="D32" s="74"/>
      <c r="E32" s="2"/>
    </row>
    <row r="33" spans="1:5" x14ac:dyDescent="0.25">
      <c r="A33" s="74"/>
      <c r="B33" s="74"/>
      <c r="C33" s="74"/>
      <c r="D33" s="74"/>
      <c r="E33" s="2"/>
    </row>
    <row r="34" spans="1:5" x14ac:dyDescent="0.25">
      <c r="A34" s="74"/>
      <c r="B34" s="74"/>
      <c r="C34" s="74"/>
      <c r="D34" s="74"/>
      <c r="E34" s="2"/>
    </row>
    <row r="35" spans="1:5" x14ac:dyDescent="0.25">
      <c r="A35" s="74"/>
      <c r="B35" s="74"/>
      <c r="C35" s="74"/>
      <c r="D35" s="74"/>
      <c r="E35" s="2"/>
    </row>
    <row r="36" spans="1:5" x14ac:dyDescent="0.25">
      <c r="A36" s="74"/>
      <c r="B36" s="74"/>
      <c r="C36" s="74"/>
      <c r="D36" s="74"/>
      <c r="E36" s="2"/>
    </row>
    <row r="37" spans="1:5" x14ac:dyDescent="0.25">
      <c r="A37" s="74"/>
      <c r="B37" s="74"/>
      <c r="C37" s="74"/>
      <c r="D37" s="74"/>
      <c r="E37" s="2"/>
    </row>
    <row r="38" spans="1:5" x14ac:dyDescent="0.25">
      <c r="A38" s="74"/>
      <c r="B38" s="74"/>
      <c r="C38" s="74"/>
      <c r="D38" s="74"/>
      <c r="E38" s="2"/>
    </row>
    <row r="39" spans="1:5" x14ac:dyDescent="0.25">
      <c r="A39" s="74"/>
      <c r="B39" s="74"/>
      <c r="C39" s="74"/>
      <c r="D39" s="74"/>
      <c r="E39" s="2"/>
    </row>
    <row r="40" spans="1:5" x14ac:dyDescent="0.25">
      <c r="A40" s="74"/>
      <c r="B40" s="74"/>
      <c r="C40" s="74"/>
      <c r="D40" s="74"/>
      <c r="E40" s="2"/>
    </row>
    <row r="41" spans="1:5" x14ac:dyDescent="0.25">
      <c r="A41" s="74"/>
      <c r="B41" s="74"/>
      <c r="C41" s="74"/>
      <c r="D41" s="74"/>
      <c r="E41" s="2"/>
    </row>
    <row r="42" spans="1:5" x14ac:dyDescent="0.25">
      <c r="A42" s="74"/>
      <c r="B42" s="74"/>
      <c r="C42" s="74"/>
      <c r="D42" s="74"/>
      <c r="E42" s="2"/>
    </row>
    <row r="43" spans="1:5" x14ac:dyDescent="0.25">
      <c r="A43" s="74"/>
      <c r="B43" s="74"/>
      <c r="C43" s="74"/>
      <c r="D43" s="74"/>
      <c r="E43" s="2"/>
    </row>
    <row r="44" spans="1:5" x14ac:dyDescent="0.25">
      <c r="A44" s="74"/>
      <c r="B44" s="74"/>
      <c r="C44" s="74"/>
      <c r="D44" s="74"/>
      <c r="E44" s="2"/>
    </row>
    <row r="45" spans="1:5" x14ac:dyDescent="0.25">
      <c r="A45" s="74"/>
      <c r="B45" s="74"/>
      <c r="C45" s="74"/>
      <c r="D45" s="74"/>
      <c r="E45" s="2"/>
    </row>
    <row r="46" spans="1:5" x14ac:dyDescent="0.25">
      <c r="A46" s="76" t="s">
        <v>9</v>
      </c>
      <c r="B46" s="74"/>
      <c r="C46" s="74"/>
      <c r="D46" s="74"/>
      <c r="E46" s="74"/>
    </row>
    <row r="47" spans="1:5" ht="15.75" customHeight="1" x14ac:dyDescent="0.25">
      <c r="A47" s="74"/>
      <c r="B47" s="74"/>
      <c r="C47" s="74"/>
      <c r="D47" s="74"/>
      <c r="E47" s="74"/>
    </row>
    <row r="48" spans="1:5" ht="15.75" customHeight="1" x14ac:dyDescent="0.25">
      <c r="A48" s="74"/>
      <c r="B48" s="74"/>
      <c r="C48" s="74"/>
      <c r="D48" s="74"/>
      <c r="E48" s="74"/>
    </row>
    <row r="49" spans="1:5" ht="15.75" customHeight="1" x14ac:dyDescent="0.25">
      <c r="A49" s="74"/>
      <c r="B49" s="74"/>
      <c r="C49" s="74"/>
      <c r="D49" s="74"/>
      <c r="E49" s="74"/>
    </row>
    <row r="50" spans="1:5" x14ac:dyDescent="0.25">
      <c r="A50" s="76" t="s">
        <v>10</v>
      </c>
      <c r="B50" s="74"/>
      <c r="C50" s="77"/>
      <c r="D50" s="74"/>
      <c r="E50" s="2"/>
    </row>
    <row r="51" spans="1:5" x14ac:dyDescent="0.25">
      <c r="A51" s="74"/>
      <c r="B51" s="74"/>
      <c r="C51" s="74"/>
      <c r="D51" s="74"/>
      <c r="E51" s="2"/>
    </row>
    <row r="52" spans="1:5" x14ac:dyDescent="0.25">
      <c r="A52" s="74"/>
      <c r="B52" s="74"/>
      <c r="C52" s="74"/>
      <c r="D52" s="74"/>
      <c r="E52" s="2"/>
    </row>
    <row r="53" spans="1:5" x14ac:dyDescent="0.25">
      <c r="A53" s="74"/>
      <c r="B53" s="74"/>
      <c r="C53" s="74"/>
      <c r="D53" s="74"/>
      <c r="E53" s="2"/>
    </row>
    <row r="54" spans="1:5" x14ac:dyDescent="0.25">
      <c r="A54" s="74"/>
      <c r="B54" s="74"/>
      <c r="C54" s="74"/>
      <c r="D54" s="74"/>
      <c r="E54" s="2"/>
    </row>
    <row r="55" spans="1:5" x14ac:dyDescent="0.25">
      <c r="A55" s="74"/>
      <c r="B55" s="74"/>
      <c r="C55" s="74"/>
      <c r="D55" s="74"/>
      <c r="E55" s="2"/>
    </row>
    <row r="56" spans="1:5" x14ac:dyDescent="0.25">
      <c r="A56" s="74"/>
      <c r="B56" s="74"/>
      <c r="C56" s="74"/>
      <c r="D56" s="74"/>
      <c r="E56" s="2"/>
    </row>
    <row r="57" spans="1:5" x14ac:dyDescent="0.25">
      <c r="A57" s="74"/>
      <c r="B57" s="74"/>
      <c r="C57" s="74"/>
      <c r="D57" s="74"/>
      <c r="E57" s="2"/>
    </row>
    <row r="58" spans="1:5" x14ac:dyDescent="0.25">
      <c r="A58" s="74"/>
      <c r="B58" s="74"/>
      <c r="C58" s="74"/>
      <c r="D58" s="74"/>
      <c r="E58" s="2"/>
    </row>
    <row r="59" spans="1:5" x14ac:dyDescent="0.25">
      <c r="A59" s="74"/>
      <c r="B59" s="74"/>
      <c r="C59" s="74"/>
      <c r="D59" s="74"/>
      <c r="E59" s="2"/>
    </row>
    <row r="60" spans="1:5" x14ac:dyDescent="0.25">
      <c r="A60" s="2"/>
      <c r="B60" s="2"/>
      <c r="C60" s="74"/>
      <c r="D60" s="74"/>
      <c r="E60" s="2"/>
    </row>
    <row r="61" spans="1:5" x14ac:dyDescent="0.25">
      <c r="A61" s="2"/>
      <c r="B61" s="2"/>
      <c r="C61" s="74"/>
      <c r="D61" s="74"/>
      <c r="E61" s="2"/>
    </row>
    <row r="62" spans="1:5" x14ac:dyDescent="0.25">
      <c r="A62" s="76" t="s">
        <v>11</v>
      </c>
      <c r="B62" s="74"/>
      <c r="C62" s="74"/>
      <c r="D62" s="74"/>
      <c r="E62" s="74"/>
    </row>
    <row r="63" spans="1:5" ht="15.75" customHeight="1" x14ac:dyDescent="0.25">
      <c r="A63" s="74"/>
      <c r="B63" s="74"/>
      <c r="C63" s="74"/>
      <c r="D63" s="74"/>
      <c r="E63" s="74"/>
    </row>
    <row r="64" spans="1:5" ht="15.75" customHeight="1" x14ac:dyDescent="0.25">
      <c r="A64" s="74"/>
      <c r="B64" s="74"/>
      <c r="C64" s="74"/>
      <c r="D64" s="74"/>
      <c r="E64" s="74"/>
    </row>
    <row r="65" spans="1:5" x14ac:dyDescent="0.25">
      <c r="A65" s="76" t="s">
        <v>12</v>
      </c>
      <c r="B65" s="74"/>
      <c r="C65" s="2"/>
      <c r="D65" s="2"/>
      <c r="E65" s="2"/>
    </row>
    <row r="66" spans="1:5" x14ac:dyDescent="0.25">
      <c r="A66" s="74"/>
      <c r="B66" s="74"/>
      <c r="C66" s="2"/>
      <c r="D66" s="2"/>
      <c r="E66" s="2"/>
    </row>
    <row r="67" spans="1:5" x14ac:dyDescent="0.25">
      <c r="A67" s="74"/>
      <c r="B67" s="74"/>
      <c r="C67" s="2"/>
      <c r="D67" s="2"/>
      <c r="E67" s="2"/>
    </row>
    <row r="68" spans="1:5" x14ac:dyDescent="0.25">
      <c r="A68" s="74"/>
      <c r="B68" s="74"/>
      <c r="C68" s="2"/>
      <c r="D68" s="2"/>
      <c r="E68" s="2"/>
    </row>
    <row r="69" spans="1:5" x14ac:dyDescent="0.25">
      <c r="A69" s="74"/>
      <c r="B69" s="74"/>
      <c r="C69" s="2"/>
      <c r="D69" s="2"/>
      <c r="E69" s="2"/>
    </row>
    <row r="70" spans="1:5" x14ac:dyDescent="0.25">
      <c r="A70" s="74"/>
      <c r="B70" s="74"/>
      <c r="C70" s="2"/>
      <c r="D70" s="2"/>
      <c r="E70" s="2"/>
    </row>
    <row r="71" spans="1:5" x14ac:dyDescent="0.25">
      <c r="A71" s="74"/>
      <c r="B71" s="74"/>
      <c r="C71" s="2"/>
      <c r="D71" s="2"/>
      <c r="E71" s="2"/>
    </row>
    <row r="72" spans="1:5" x14ac:dyDescent="0.25">
      <c r="A72" s="74"/>
      <c r="B72" s="74"/>
      <c r="C72" s="2"/>
      <c r="D72" s="2"/>
      <c r="E72" s="2"/>
    </row>
    <row r="73" spans="1:5" x14ac:dyDescent="0.25">
      <c r="A73" s="74"/>
      <c r="B73" s="74"/>
      <c r="C73" s="2"/>
      <c r="D73" s="2"/>
      <c r="E73" s="2"/>
    </row>
    <row r="74" spans="1:5" x14ac:dyDescent="0.25">
      <c r="A74" s="74"/>
      <c r="B74" s="74"/>
      <c r="C74" s="2"/>
      <c r="D74" s="2"/>
      <c r="E74" s="2"/>
    </row>
    <row r="75" spans="1:5" x14ac:dyDescent="0.25">
      <c r="A75" s="74"/>
      <c r="B75" s="74"/>
      <c r="C75" s="2"/>
      <c r="D75" s="2"/>
      <c r="E75" s="2"/>
    </row>
    <row r="76" spans="1:5" x14ac:dyDescent="0.25">
      <c r="A76" s="74"/>
      <c r="B76" s="74"/>
      <c r="C76" s="2"/>
      <c r="D76" s="2"/>
      <c r="E76" s="2"/>
    </row>
    <row r="77" spans="1:5" x14ac:dyDescent="0.25">
      <c r="A77" s="76" t="s">
        <v>13</v>
      </c>
      <c r="B77" s="74"/>
      <c r="C77" s="2"/>
      <c r="D77" s="2"/>
      <c r="E77" s="2"/>
    </row>
    <row r="78" spans="1:5" x14ac:dyDescent="0.25">
      <c r="A78" s="74"/>
      <c r="B78" s="74"/>
      <c r="C78" s="2"/>
      <c r="D78" s="2"/>
      <c r="E78" s="2"/>
    </row>
    <row r="79" spans="1:5" x14ac:dyDescent="0.25">
      <c r="A79" s="74"/>
      <c r="B79" s="74"/>
      <c r="C79" s="2"/>
      <c r="D79" s="2"/>
      <c r="E79" s="2"/>
    </row>
    <row r="80" spans="1:5" x14ac:dyDescent="0.25">
      <c r="A80" s="74"/>
      <c r="B80" s="74"/>
      <c r="C80" s="2"/>
      <c r="D80" s="2"/>
      <c r="E80" s="2"/>
    </row>
    <row r="81" spans="1:5" x14ac:dyDescent="0.25">
      <c r="A81" s="74"/>
      <c r="B81" s="74"/>
      <c r="C81" s="2"/>
      <c r="D81" s="2"/>
      <c r="E81" s="2"/>
    </row>
    <row r="82" spans="1:5" x14ac:dyDescent="0.25">
      <c r="A82" s="74"/>
      <c r="B82" s="74"/>
      <c r="C82" s="2"/>
      <c r="D82" s="2"/>
      <c r="E82" s="2"/>
    </row>
    <row r="83" spans="1:5" x14ac:dyDescent="0.25">
      <c r="A83" s="74"/>
      <c r="B83" s="74"/>
      <c r="C83" s="2"/>
      <c r="D83" s="2"/>
      <c r="E83" s="2"/>
    </row>
    <row r="84" spans="1:5" x14ac:dyDescent="0.25">
      <c r="A84" s="74"/>
      <c r="B84" s="74"/>
      <c r="C84" s="2"/>
      <c r="D84" s="2"/>
      <c r="E84" s="2"/>
    </row>
    <row r="85" spans="1:5" x14ac:dyDescent="0.25">
      <c r="A85" s="76" t="s">
        <v>14</v>
      </c>
      <c r="B85" s="74"/>
      <c r="C85" s="2"/>
      <c r="D85" s="2"/>
      <c r="E85" s="2"/>
    </row>
    <row r="86" spans="1:5" x14ac:dyDescent="0.25">
      <c r="A86" s="74"/>
      <c r="B86" s="74"/>
      <c r="C86" s="2"/>
      <c r="D86" s="2"/>
      <c r="E86" s="2"/>
    </row>
    <row r="87" spans="1:5" x14ac:dyDescent="0.25">
      <c r="A87" s="74"/>
      <c r="B87" s="74"/>
      <c r="C87" s="2"/>
      <c r="D87" s="2"/>
      <c r="E87" s="2"/>
    </row>
    <row r="88" spans="1:5" x14ac:dyDescent="0.25">
      <c r="A88" s="74"/>
      <c r="B88" s="74"/>
      <c r="C88" s="2"/>
      <c r="D88" s="2"/>
      <c r="E88" s="2"/>
    </row>
    <row r="89" spans="1:5" x14ac:dyDescent="0.25">
      <c r="A89" s="74"/>
      <c r="B89" s="74"/>
      <c r="C89" s="2"/>
      <c r="D89" s="2"/>
      <c r="E89" s="2"/>
    </row>
    <row r="90" spans="1:5" x14ac:dyDescent="0.25">
      <c r="A90" s="74"/>
      <c r="B90" s="74"/>
      <c r="C90" s="2"/>
      <c r="D90" s="2"/>
      <c r="E90" s="2"/>
    </row>
    <row r="91" spans="1:5" x14ac:dyDescent="0.25">
      <c r="A91" s="74"/>
      <c r="B91" s="74"/>
      <c r="C91" s="2"/>
      <c r="D91" s="2"/>
      <c r="E91" s="2"/>
    </row>
    <row r="92" spans="1:5" x14ac:dyDescent="0.25">
      <c r="A92" s="74"/>
      <c r="B92" s="74"/>
      <c r="C92" s="2"/>
      <c r="D92" s="2"/>
      <c r="E92" s="2"/>
    </row>
    <row r="93" spans="1:5" x14ac:dyDescent="0.25">
      <c r="A93" s="74"/>
      <c r="B93" s="74"/>
      <c r="C93" s="2"/>
      <c r="D93" s="2"/>
      <c r="E93" s="2"/>
    </row>
    <row r="94" spans="1:5" x14ac:dyDescent="0.25">
      <c r="A94" s="74"/>
      <c r="B94" s="74"/>
      <c r="C94" s="2"/>
      <c r="D94" s="2"/>
      <c r="E94" s="2"/>
    </row>
    <row r="95" spans="1:5" x14ac:dyDescent="0.25">
      <c r="A95" s="74"/>
      <c r="B95" s="74"/>
      <c r="C95" s="2"/>
      <c r="D95" s="2"/>
      <c r="E95" s="2"/>
    </row>
    <row r="96" spans="1:5" x14ac:dyDescent="0.25">
      <c r="A96" s="74"/>
      <c r="B96" s="74"/>
      <c r="C96" s="2"/>
      <c r="D96" s="2"/>
      <c r="E96" s="2"/>
    </row>
    <row r="97" spans="1:5" x14ac:dyDescent="0.25">
      <c r="A97" s="74"/>
      <c r="B97" s="74"/>
      <c r="C97" s="2"/>
      <c r="D97" s="2"/>
      <c r="E97" s="2"/>
    </row>
    <row r="98" spans="1:5" x14ac:dyDescent="0.25">
      <c r="A98" s="74"/>
      <c r="B98" s="74"/>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76" t="s">
        <v>15</v>
      </c>
      <c r="B103" s="74"/>
      <c r="C103" s="2"/>
      <c r="D103" s="2"/>
      <c r="E103" s="2"/>
    </row>
    <row r="104" spans="1:5" x14ac:dyDescent="0.25">
      <c r="A104" s="74"/>
      <c r="B104" s="74"/>
      <c r="C104" s="2"/>
      <c r="D104" s="2"/>
      <c r="E104" s="2"/>
    </row>
    <row r="105" spans="1:5" x14ac:dyDescent="0.25">
      <c r="A105" s="74"/>
      <c r="B105" s="74"/>
      <c r="C105" s="2"/>
      <c r="D105" s="2"/>
      <c r="E105" s="2"/>
    </row>
    <row r="106" spans="1:5" x14ac:dyDescent="0.25">
      <c r="A106" s="74"/>
      <c r="B106" s="74"/>
      <c r="C106" s="2"/>
      <c r="D106" s="2"/>
      <c r="E106" s="2"/>
    </row>
    <row r="107" spans="1:5" x14ac:dyDescent="0.25">
      <c r="A107" s="74"/>
      <c r="B107" s="74"/>
      <c r="C107" s="2"/>
      <c r="D107" s="2"/>
      <c r="E107" s="2"/>
    </row>
    <row r="108" spans="1:5" x14ac:dyDescent="0.25">
      <c r="A108" s="74"/>
      <c r="B108" s="74"/>
      <c r="C108" s="2"/>
      <c r="D108" s="2"/>
      <c r="E108" s="2"/>
    </row>
    <row r="109" spans="1:5" x14ac:dyDescent="0.25">
      <c r="A109" s="74"/>
      <c r="B109" s="74"/>
      <c r="C109" s="2"/>
      <c r="D109" s="2"/>
      <c r="E109" s="2"/>
    </row>
    <row r="110" spans="1:5" x14ac:dyDescent="0.25">
      <c r="A110" s="74"/>
      <c r="B110" s="74"/>
      <c r="C110" s="2"/>
      <c r="D110" s="2"/>
      <c r="E110" s="2"/>
    </row>
    <row r="111" spans="1:5" x14ac:dyDescent="0.25">
      <c r="A111" s="74"/>
      <c r="B111" s="74"/>
      <c r="C111" s="2"/>
      <c r="D111" s="2"/>
      <c r="E111" s="2"/>
    </row>
    <row r="112" spans="1:5" x14ac:dyDescent="0.25">
      <c r="A112" s="74"/>
      <c r="B112" s="74"/>
      <c r="C112" s="2"/>
      <c r="D112" s="2"/>
      <c r="E112" s="2"/>
    </row>
    <row r="113" spans="1:5" x14ac:dyDescent="0.25">
      <c r="A113" s="74"/>
      <c r="B113" s="74"/>
      <c r="C113" s="2"/>
      <c r="D113" s="2"/>
      <c r="E113" s="2"/>
    </row>
    <row r="114" spans="1:5" x14ac:dyDescent="0.25">
      <c r="A114" s="76" t="s">
        <v>16</v>
      </c>
      <c r="B114" s="74"/>
      <c r="C114" s="74"/>
      <c r="D114" s="74"/>
      <c r="E114" s="74"/>
    </row>
    <row r="115" spans="1:5" ht="15.75" customHeight="1" x14ac:dyDescent="0.25">
      <c r="A115" s="74"/>
      <c r="B115" s="74"/>
      <c r="C115" s="74"/>
      <c r="D115" s="74"/>
      <c r="E115" s="74"/>
    </row>
    <row r="116" spans="1:5" ht="15.75" customHeight="1" x14ac:dyDescent="0.25">
      <c r="A116" s="74"/>
      <c r="B116" s="74"/>
      <c r="C116" s="74"/>
      <c r="D116" s="74"/>
      <c r="E116" s="74"/>
    </row>
  </sheetData>
  <mergeCells count="19">
    <mergeCell ref="A103:B113"/>
    <mergeCell ref="A114:E116"/>
    <mergeCell ref="A22:E24"/>
    <mergeCell ref="A25:E29"/>
    <mergeCell ref="A30:D45"/>
    <mergeCell ref="A46:E49"/>
    <mergeCell ref="A50:B59"/>
    <mergeCell ref="C50:D61"/>
    <mergeCell ref="A62:E64"/>
    <mergeCell ref="A17:E19"/>
    <mergeCell ref="A20:E21"/>
    <mergeCell ref="A65:B76"/>
    <mergeCell ref="A77:B84"/>
    <mergeCell ref="A85:B98"/>
    <mergeCell ref="A1:D3"/>
    <mergeCell ref="B4:C6"/>
    <mergeCell ref="A7:E13"/>
    <mergeCell ref="A14:E14"/>
    <mergeCell ref="A15:E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39"/>
  <sheetViews>
    <sheetView topLeftCell="D1" workbookViewId="0">
      <selection activeCell="D3" sqref="D3:E3"/>
    </sheetView>
  </sheetViews>
  <sheetFormatPr defaultColWidth="12.6640625" defaultRowHeight="15.75" customHeight="1" x14ac:dyDescent="0.25"/>
  <cols>
    <col min="1" max="1" width="13.109375" customWidth="1"/>
    <col min="2" max="2" width="8.6640625" customWidth="1"/>
    <col min="3" max="3" width="8.88671875" customWidth="1"/>
    <col min="4" max="4" width="6.33203125" customWidth="1"/>
    <col min="5" max="5" width="11.33203125" customWidth="1"/>
    <col min="6" max="6" width="4.77734375" customWidth="1"/>
    <col min="7" max="7" width="11.44140625" customWidth="1"/>
    <col min="8" max="8" width="2.88671875" customWidth="1"/>
    <col min="9" max="9" width="2.77734375" customWidth="1"/>
    <col min="11" max="11" width="11.21875" customWidth="1"/>
    <col min="12" max="12" width="2.88671875" customWidth="1"/>
    <col min="13" max="13" width="10.77734375" customWidth="1"/>
    <col min="14" max="14" width="14.6640625" customWidth="1"/>
    <col min="15" max="15" width="11" customWidth="1"/>
    <col min="16" max="16" width="2.88671875" customWidth="1"/>
    <col min="17" max="17" width="14" customWidth="1"/>
    <col min="18" max="18" width="2" customWidth="1"/>
    <col min="19" max="19" width="16.44140625" customWidth="1"/>
  </cols>
  <sheetData>
    <row r="1" spans="1:20" x14ac:dyDescent="0.25">
      <c r="A1" s="81" t="s">
        <v>17</v>
      </c>
      <c r="B1" s="74"/>
      <c r="C1" s="74"/>
      <c r="D1" s="74"/>
      <c r="E1" s="74"/>
      <c r="F1" s="74"/>
      <c r="G1" s="74"/>
      <c r="H1" s="82"/>
      <c r="I1" s="83" t="s">
        <v>18</v>
      </c>
      <c r="J1" s="74"/>
      <c r="K1" s="74"/>
      <c r="L1" s="82"/>
      <c r="M1" s="83" t="s">
        <v>19</v>
      </c>
      <c r="N1" s="74"/>
      <c r="O1" s="74"/>
      <c r="P1" s="84"/>
      <c r="Q1" s="81" t="s">
        <v>20</v>
      </c>
      <c r="R1" s="74"/>
      <c r="S1" s="74"/>
      <c r="T1" s="5">
        <v>20</v>
      </c>
    </row>
    <row r="2" spans="1:20" x14ac:dyDescent="0.25">
      <c r="A2" s="6" t="s">
        <v>21</v>
      </c>
      <c r="B2" s="6" t="s">
        <v>22</v>
      </c>
      <c r="C2" s="7" t="s">
        <v>23</v>
      </c>
      <c r="D2" s="89" t="s">
        <v>24</v>
      </c>
      <c r="E2" s="74"/>
      <c r="F2" s="90">
        <f>COUNTIF(I2:I12, TRUE)</f>
        <v>7</v>
      </c>
      <c r="G2" s="74"/>
      <c r="H2" s="74"/>
      <c r="I2" s="8" t="b">
        <v>1</v>
      </c>
      <c r="J2" s="80" t="s">
        <v>25</v>
      </c>
      <c r="K2" s="74"/>
      <c r="L2" s="74"/>
      <c r="M2" s="85" t="s">
        <v>26</v>
      </c>
      <c r="N2" s="74"/>
      <c r="O2" s="74"/>
      <c r="P2" s="74"/>
      <c r="Q2" s="85" t="s">
        <v>26</v>
      </c>
      <c r="R2" s="74"/>
      <c r="S2" s="74"/>
      <c r="T2" s="5">
        <v>30</v>
      </c>
    </row>
    <row r="3" spans="1:20" x14ac:dyDescent="0.25">
      <c r="A3" s="8" t="s">
        <v>27</v>
      </c>
      <c r="B3" s="11">
        <v>45</v>
      </c>
      <c r="C3" s="12">
        <v>7740</v>
      </c>
      <c r="D3" s="91">
        <v>70</v>
      </c>
      <c r="E3" s="74"/>
      <c r="F3" s="74"/>
      <c r="G3" s="74"/>
      <c r="H3" s="74"/>
      <c r="I3" s="8" t="b">
        <v>0</v>
      </c>
      <c r="J3" s="80" t="s">
        <v>28</v>
      </c>
      <c r="K3" s="74"/>
      <c r="L3" s="74"/>
      <c r="M3" s="10" t="s">
        <v>29</v>
      </c>
      <c r="N3" s="10"/>
      <c r="O3" s="10" t="s">
        <v>30</v>
      </c>
      <c r="P3" s="74"/>
      <c r="Q3" s="13" t="s">
        <v>31</v>
      </c>
      <c r="R3" s="14"/>
      <c r="S3" s="13" t="s">
        <v>32</v>
      </c>
      <c r="T3" s="5">
        <v>40</v>
      </c>
    </row>
    <row r="4" spans="1:20" x14ac:dyDescent="0.25">
      <c r="A4" s="15" t="str">
        <f>A3</f>
        <v>Valley Kingdom</v>
      </c>
      <c r="B4" s="92" t="s">
        <v>33</v>
      </c>
      <c r="C4" s="74"/>
      <c r="D4" s="17">
        <f>C3</f>
        <v>7740</v>
      </c>
      <c r="E4" s="16" t="s">
        <v>34</v>
      </c>
      <c r="F4" s="18">
        <f>((E9 / D3) / D4) * 100</f>
        <v>64.285714285714278</v>
      </c>
      <c r="G4" s="19" t="s">
        <v>35</v>
      </c>
      <c r="H4" s="74"/>
      <c r="I4" s="8" t="b">
        <v>1</v>
      </c>
      <c r="J4" s="80" t="s">
        <v>36</v>
      </c>
      <c r="K4" s="74"/>
      <c r="L4" s="74"/>
      <c r="M4" s="20">
        <v>855</v>
      </c>
      <c r="N4" s="21" t="s">
        <v>37</v>
      </c>
      <c r="O4" s="20">
        <v>10163</v>
      </c>
      <c r="P4" s="74"/>
      <c r="Q4" s="10" t="s">
        <v>38</v>
      </c>
      <c r="R4" s="14"/>
      <c r="S4" s="10" t="s">
        <v>39</v>
      </c>
      <c r="T4" s="5">
        <v>50</v>
      </c>
    </row>
    <row r="5" spans="1:20" x14ac:dyDescent="0.25">
      <c r="A5" s="22" t="s">
        <v>40</v>
      </c>
      <c r="B5" s="23" t="s">
        <v>41</v>
      </c>
      <c r="C5" s="23" t="s">
        <v>42</v>
      </c>
      <c r="D5" s="79"/>
      <c r="E5" s="74"/>
      <c r="F5" s="74"/>
      <c r="G5" s="74"/>
      <c r="H5" s="74"/>
      <c r="I5" s="8" t="b">
        <v>1</v>
      </c>
      <c r="J5" s="80" t="s">
        <v>43</v>
      </c>
      <c r="K5" s="74"/>
      <c r="L5" s="74"/>
      <c r="M5" s="10" t="s">
        <v>44</v>
      </c>
      <c r="N5" s="10" t="s">
        <v>45</v>
      </c>
      <c r="O5" s="24">
        <v>13</v>
      </c>
      <c r="P5" s="74"/>
      <c r="Q5" s="10" t="s">
        <v>46</v>
      </c>
      <c r="R5" s="14"/>
      <c r="S5" s="10" t="s">
        <v>47</v>
      </c>
      <c r="T5" s="5">
        <v>60</v>
      </c>
    </row>
    <row r="6" spans="1:20" x14ac:dyDescent="0.25">
      <c r="A6" s="25" t="s">
        <v>48</v>
      </c>
      <c r="B6" s="26">
        <f>(F4 /100) * C3</f>
        <v>4975.7142857142853</v>
      </c>
      <c r="C6" s="26">
        <f t="shared" ref="C6:C7" si="0">(B6 * 640) / 2.471</f>
        <v>1288732.1500838294</v>
      </c>
      <c r="D6" s="74"/>
      <c r="E6" s="74"/>
      <c r="F6" s="74"/>
      <c r="G6" s="74"/>
      <c r="H6" s="74"/>
      <c r="I6" s="8" t="b">
        <v>0</v>
      </c>
      <c r="J6" s="80" t="s">
        <v>49</v>
      </c>
      <c r="K6" s="74"/>
      <c r="L6" s="74"/>
      <c r="M6" s="24">
        <v>1.7749999999999999</v>
      </c>
      <c r="N6" s="27" t="s">
        <v>50</v>
      </c>
      <c r="O6" s="28">
        <v>50</v>
      </c>
      <c r="P6" s="74"/>
      <c r="Q6" s="10" t="s">
        <v>51</v>
      </c>
      <c r="R6" s="14"/>
      <c r="S6" s="10" t="s">
        <v>38</v>
      </c>
      <c r="T6" s="5">
        <v>70</v>
      </c>
    </row>
    <row r="7" spans="1:20" x14ac:dyDescent="0.25">
      <c r="A7" s="25" t="s">
        <v>52</v>
      </c>
      <c r="B7" s="17">
        <f>D4 - B6</f>
        <v>2764.2857142857147</v>
      </c>
      <c r="C7" s="17">
        <f t="shared" si="0"/>
        <v>715962.30560212757</v>
      </c>
      <c r="D7" s="74"/>
      <c r="E7" s="74"/>
      <c r="F7" s="74"/>
      <c r="G7" s="74"/>
      <c r="H7" s="74"/>
      <c r="I7" s="8" t="b">
        <v>1</v>
      </c>
      <c r="J7" s="80" t="s">
        <v>53</v>
      </c>
      <c r="K7" s="74"/>
      <c r="L7" s="74"/>
      <c r="M7" s="10" t="s">
        <v>44</v>
      </c>
      <c r="N7" s="10" t="s">
        <v>54</v>
      </c>
      <c r="O7" s="28">
        <v>6</v>
      </c>
      <c r="P7" s="74"/>
      <c r="Q7" s="10" t="s">
        <v>55</v>
      </c>
      <c r="R7" s="14"/>
      <c r="S7" s="10" t="s">
        <v>46</v>
      </c>
      <c r="T7" s="5">
        <v>80</v>
      </c>
    </row>
    <row r="8" spans="1:20" x14ac:dyDescent="0.25">
      <c r="A8" s="93" t="s">
        <v>56</v>
      </c>
      <c r="B8" s="74"/>
      <c r="C8" s="74"/>
      <c r="D8" s="74"/>
      <c r="E8" s="74"/>
      <c r="F8" s="74"/>
      <c r="G8" s="74"/>
      <c r="H8" s="74"/>
      <c r="I8" s="8" t="b">
        <v>1</v>
      </c>
      <c r="J8" s="80" t="s">
        <v>57</v>
      </c>
      <c r="K8" s="74"/>
      <c r="L8" s="74"/>
      <c r="M8" s="24">
        <v>0.44374999999999998</v>
      </c>
      <c r="N8" s="27" t="s">
        <v>58</v>
      </c>
      <c r="O8" s="28">
        <v>12</v>
      </c>
      <c r="P8" s="74"/>
      <c r="Q8" s="10" t="s">
        <v>59</v>
      </c>
      <c r="R8" s="14"/>
      <c r="S8" s="10" t="s">
        <v>58</v>
      </c>
      <c r="T8" s="5">
        <v>90</v>
      </c>
    </row>
    <row r="9" spans="1:20" x14ac:dyDescent="0.25">
      <c r="A9" s="15" t="str">
        <f>A3</f>
        <v>Valley Kingdom</v>
      </c>
      <c r="B9" s="94" t="s">
        <v>60</v>
      </c>
      <c r="C9" s="74"/>
      <c r="D9" s="74"/>
      <c r="E9" s="29">
        <f>B3 * C3</f>
        <v>348300</v>
      </c>
      <c r="F9" s="79"/>
      <c r="G9" s="74"/>
      <c r="H9" s="74"/>
      <c r="I9" s="8" t="b">
        <v>0</v>
      </c>
      <c r="J9" s="80" t="s">
        <v>61</v>
      </c>
      <c r="K9" s="74"/>
      <c r="L9" s="74"/>
      <c r="M9" s="24">
        <v>0.71</v>
      </c>
      <c r="N9" s="27" t="s">
        <v>62</v>
      </c>
      <c r="O9" s="28">
        <v>20</v>
      </c>
      <c r="P9" s="74"/>
      <c r="Q9" s="10" t="s">
        <v>63</v>
      </c>
      <c r="R9" s="14"/>
      <c r="S9" s="10" t="s">
        <v>64</v>
      </c>
      <c r="T9" s="5">
        <v>100</v>
      </c>
    </row>
    <row r="10" spans="1:20" x14ac:dyDescent="0.25">
      <c r="A10" s="23" t="s">
        <v>65</v>
      </c>
      <c r="B10" s="23" t="s">
        <v>66</v>
      </c>
      <c r="C10" s="23" t="s">
        <v>67</v>
      </c>
      <c r="D10" s="95" t="s">
        <v>68</v>
      </c>
      <c r="E10" s="74"/>
      <c r="F10" s="74"/>
      <c r="G10" s="74"/>
      <c r="H10" s="74"/>
      <c r="I10" s="8" t="b">
        <v>1</v>
      </c>
      <c r="J10" s="80" t="s">
        <v>69</v>
      </c>
      <c r="K10" s="74"/>
      <c r="L10" s="74"/>
      <c r="M10" s="24">
        <v>0.47333333329999999</v>
      </c>
      <c r="N10" s="27" t="s">
        <v>38</v>
      </c>
      <c r="O10" s="28">
        <v>13</v>
      </c>
      <c r="P10" s="74"/>
      <c r="Q10" s="10" t="s">
        <v>70</v>
      </c>
      <c r="R10" s="14"/>
      <c r="S10" s="10" t="s">
        <v>71</v>
      </c>
      <c r="T10" s="5">
        <v>110</v>
      </c>
    </row>
    <row r="11" spans="1:20" x14ac:dyDescent="0.25">
      <c r="A11" s="25" t="s">
        <v>72</v>
      </c>
      <c r="B11" s="27" t="s">
        <v>44</v>
      </c>
      <c r="C11" s="30">
        <f>ROUND(E9 * 0.02,0)</f>
        <v>6966</v>
      </c>
      <c r="D11" s="96" t="s">
        <v>44</v>
      </c>
      <c r="E11" s="74"/>
      <c r="F11" s="74"/>
      <c r="G11" s="74"/>
      <c r="H11" s="74"/>
      <c r="I11" s="8" t="b">
        <v>1</v>
      </c>
      <c r="J11" s="80" t="s">
        <v>73</v>
      </c>
      <c r="K11" s="74"/>
      <c r="L11" s="74"/>
      <c r="M11" s="24">
        <v>1.7749999999999999</v>
      </c>
      <c r="N11" s="27" t="s">
        <v>74</v>
      </c>
      <c r="O11" s="28">
        <v>50</v>
      </c>
      <c r="P11" s="74"/>
      <c r="Q11" s="10" t="s">
        <v>75</v>
      </c>
      <c r="R11" s="14"/>
      <c r="S11" s="10" t="s">
        <v>55</v>
      </c>
      <c r="T11" s="5">
        <v>120</v>
      </c>
    </row>
    <row r="12" spans="1:20" x14ac:dyDescent="0.25">
      <c r="A12" s="25" t="s">
        <v>76</v>
      </c>
      <c r="B12" s="30">
        <v>681</v>
      </c>
      <c r="C12" s="30">
        <f>ROUND(E9 * 0.88,0) + IF(C13&lt;1100,C13)</f>
        <v>306504</v>
      </c>
      <c r="D12" s="86">
        <f t="shared" ref="D12:D15" si="1">IFERROR(C12/B12, 0)</f>
        <v>450.07929515418505</v>
      </c>
      <c r="E12" s="74"/>
      <c r="F12" s="74"/>
      <c r="G12" s="74"/>
      <c r="H12" s="74"/>
      <c r="I12" s="8" t="b">
        <v>0</v>
      </c>
      <c r="J12" s="80" t="s">
        <v>77</v>
      </c>
      <c r="K12" s="74"/>
      <c r="L12" s="74"/>
      <c r="M12" s="32" t="s">
        <v>44</v>
      </c>
      <c r="N12" s="27" t="s">
        <v>78</v>
      </c>
      <c r="O12" s="28">
        <v>3</v>
      </c>
      <c r="P12" s="82"/>
      <c r="Q12" s="74"/>
      <c r="R12" s="74"/>
      <c r="S12" s="10" t="s">
        <v>79</v>
      </c>
      <c r="T12" s="5">
        <v>130</v>
      </c>
    </row>
    <row r="13" spans="1:20" x14ac:dyDescent="0.25">
      <c r="A13" s="25" t="s">
        <v>80</v>
      </c>
      <c r="B13" s="33">
        <v>8</v>
      </c>
      <c r="C13" s="30">
        <f>ROUND(E9 * 0.07,0) + IF(C14&lt;5500,C14)</f>
        <v>24381</v>
      </c>
      <c r="D13" s="86">
        <f t="shared" si="1"/>
        <v>3047.625</v>
      </c>
      <c r="E13" s="74"/>
      <c r="F13" s="74"/>
      <c r="G13" s="74"/>
      <c r="H13" s="74"/>
      <c r="I13" s="87" t="str">
        <f>IF(F2&lt;4, "No Permanent Settlement Possible", IF(AND(F2&gt;3,F2&lt;6), "Small Village", IF(AND(F2&gt;5,F2&lt;8), "Village", IF(AND(F2&gt;7,F2&lt;9), "Town", IF(AND(F2&gt;8,F2&lt;10), "City", "Big City")))))</f>
        <v>Village</v>
      </c>
      <c r="J13" s="74"/>
      <c r="K13" s="74"/>
      <c r="L13" s="74"/>
      <c r="M13" s="24">
        <v>0.35499999999999998</v>
      </c>
      <c r="N13" s="27" t="s">
        <v>81</v>
      </c>
      <c r="O13" s="28">
        <v>10</v>
      </c>
      <c r="P13" s="74"/>
      <c r="Q13" s="74"/>
      <c r="R13" s="74"/>
      <c r="S13" s="10" t="s">
        <v>63</v>
      </c>
      <c r="T13" s="5">
        <v>140</v>
      </c>
    </row>
    <row r="14" spans="1:20" x14ac:dyDescent="0.25">
      <c r="A14" s="25" t="s">
        <v>82</v>
      </c>
      <c r="B14" s="33">
        <v>1</v>
      </c>
      <c r="C14" s="30">
        <f>ROUND(E9 * 0.02,0) + IF(C15&lt;15000,C15)</f>
        <v>10449</v>
      </c>
      <c r="D14" s="86">
        <f t="shared" si="1"/>
        <v>10449</v>
      </c>
      <c r="E14" s="74"/>
      <c r="F14" s="79"/>
      <c r="G14" s="74"/>
      <c r="H14" s="74"/>
      <c r="I14" s="74"/>
      <c r="J14" s="74"/>
      <c r="K14" s="74"/>
      <c r="L14" s="74"/>
      <c r="M14" s="24">
        <v>0.88749999999999996</v>
      </c>
      <c r="N14" s="27" t="s">
        <v>83</v>
      </c>
      <c r="O14" s="28">
        <v>25</v>
      </c>
      <c r="P14" s="74"/>
      <c r="Q14" s="74"/>
      <c r="R14" s="74"/>
      <c r="S14" s="10" t="s">
        <v>84</v>
      </c>
      <c r="T14" s="5">
        <v>150</v>
      </c>
    </row>
    <row r="15" spans="1:20" x14ac:dyDescent="0.25">
      <c r="A15" s="25" t="s">
        <v>85</v>
      </c>
      <c r="B15" s="33">
        <v>0</v>
      </c>
      <c r="C15" s="30">
        <f>ROUND(E9 * 0.01,0)</f>
        <v>3483</v>
      </c>
      <c r="D15" s="86">
        <f t="shared" si="1"/>
        <v>0</v>
      </c>
      <c r="E15" s="74"/>
      <c r="F15" s="74"/>
      <c r="G15" s="74"/>
      <c r="H15" s="74"/>
      <c r="I15" s="74"/>
      <c r="J15" s="74"/>
      <c r="K15" s="74"/>
      <c r="L15" s="74"/>
      <c r="M15" s="32" t="s">
        <v>44</v>
      </c>
      <c r="N15" s="27" t="s">
        <v>86</v>
      </c>
      <c r="O15" s="28">
        <v>8</v>
      </c>
      <c r="P15" s="74"/>
      <c r="Q15" s="74"/>
      <c r="R15" s="74"/>
      <c r="S15" s="10" t="s">
        <v>87</v>
      </c>
      <c r="T15" s="5">
        <v>160</v>
      </c>
    </row>
    <row r="16" spans="1:20" x14ac:dyDescent="0.25">
      <c r="A16" s="83" t="s">
        <v>88</v>
      </c>
      <c r="B16" s="74"/>
      <c r="C16" s="74"/>
      <c r="D16" s="74"/>
      <c r="E16" s="74"/>
      <c r="F16" s="74"/>
      <c r="G16" s="74"/>
      <c r="H16" s="74"/>
      <c r="I16" s="74"/>
      <c r="J16" s="74"/>
      <c r="K16" s="74"/>
      <c r="L16" s="74"/>
      <c r="M16" s="32" t="s">
        <v>44</v>
      </c>
      <c r="N16" s="27" t="s">
        <v>89</v>
      </c>
      <c r="O16" s="28">
        <v>2</v>
      </c>
      <c r="P16" s="74"/>
      <c r="Q16" s="74"/>
      <c r="R16" s="74"/>
      <c r="S16" s="10" t="s">
        <v>90</v>
      </c>
      <c r="T16" s="5">
        <v>170</v>
      </c>
    </row>
    <row r="17" spans="1:20" x14ac:dyDescent="0.25">
      <c r="A17" s="15" t="str">
        <f>A3</f>
        <v>Valley Kingdom</v>
      </c>
      <c r="B17" s="15" t="s">
        <v>91</v>
      </c>
      <c r="C17" s="33">
        <v>1</v>
      </c>
      <c r="D17" s="80" t="s">
        <v>92</v>
      </c>
      <c r="E17" s="74"/>
      <c r="F17" s="74"/>
      <c r="G17" s="74"/>
      <c r="H17" s="74"/>
      <c r="I17" s="74"/>
      <c r="J17" s="74"/>
      <c r="K17" s="74"/>
      <c r="L17" s="74"/>
      <c r="M17" s="24">
        <v>1.0142857139999999</v>
      </c>
      <c r="N17" s="27" t="s">
        <v>93</v>
      </c>
      <c r="O17" s="28">
        <v>29</v>
      </c>
      <c r="P17" s="74"/>
      <c r="Q17" s="74"/>
      <c r="R17" s="74"/>
      <c r="S17" s="10" t="s">
        <v>70</v>
      </c>
      <c r="T17" s="5">
        <v>180</v>
      </c>
    </row>
    <row r="18" spans="1:20" x14ac:dyDescent="0.25">
      <c r="A18" s="22" t="s">
        <v>94</v>
      </c>
      <c r="B18" s="79"/>
      <c r="C18" s="33">
        <v>8</v>
      </c>
      <c r="D18" s="80" t="s">
        <v>95</v>
      </c>
      <c r="E18" s="74"/>
      <c r="F18" s="74"/>
      <c r="G18" s="74"/>
      <c r="H18" s="74"/>
      <c r="I18" s="74"/>
      <c r="J18" s="74"/>
      <c r="K18" s="74"/>
      <c r="L18" s="74"/>
      <c r="M18" s="24">
        <v>1.7749999999999999</v>
      </c>
      <c r="N18" s="27" t="s">
        <v>96</v>
      </c>
      <c r="O18" s="28">
        <v>50</v>
      </c>
      <c r="P18" s="74"/>
      <c r="Q18" s="74"/>
      <c r="R18" s="74"/>
      <c r="S18" s="10" t="s">
        <v>97</v>
      </c>
      <c r="T18" s="5">
        <v>190</v>
      </c>
    </row>
    <row r="19" spans="1:20" x14ac:dyDescent="0.25">
      <c r="A19" s="9" t="s">
        <v>98</v>
      </c>
      <c r="B19" s="74"/>
      <c r="C19" s="33">
        <f>SUM(B13:B15,C20)</f>
        <v>9</v>
      </c>
      <c r="D19" s="80" t="s">
        <v>99</v>
      </c>
      <c r="E19" s="74"/>
      <c r="F19" s="74"/>
      <c r="G19" s="74"/>
      <c r="H19" s="74"/>
      <c r="I19" s="74"/>
      <c r="J19" s="74"/>
      <c r="K19" s="74"/>
      <c r="L19" s="74"/>
      <c r="M19" s="24">
        <v>0.71</v>
      </c>
      <c r="N19" s="27" t="s">
        <v>100</v>
      </c>
      <c r="O19" s="28">
        <v>20</v>
      </c>
      <c r="P19" s="74"/>
      <c r="Q19" s="74"/>
      <c r="R19" s="74"/>
      <c r="S19" s="10" t="s">
        <v>101</v>
      </c>
      <c r="T19" s="5">
        <v>200</v>
      </c>
    </row>
    <row r="20" spans="1:20" x14ac:dyDescent="0.25">
      <c r="A20" s="9" t="s">
        <v>102</v>
      </c>
      <c r="B20" s="74"/>
      <c r="C20" s="11">
        <v>0</v>
      </c>
      <c r="D20" s="80" t="s">
        <v>103</v>
      </c>
      <c r="E20" s="74"/>
      <c r="F20" s="74"/>
      <c r="G20" s="74"/>
      <c r="H20" s="74"/>
      <c r="I20" s="74"/>
      <c r="J20" s="74"/>
      <c r="K20" s="74"/>
      <c r="L20" s="74"/>
      <c r="M20" s="24">
        <v>0.71</v>
      </c>
      <c r="N20" s="27" t="s">
        <v>104</v>
      </c>
      <c r="O20" s="28">
        <v>20</v>
      </c>
      <c r="P20" s="74"/>
      <c r="Q20" s="74"/>
      <c r="R20" s="74"/>
      <c r="S20" s="10" t="s">
        <v>105</v>
      </c>
      <c r="T20" s="5">
        <v>210</v>
      </c>
    </row>
    <row r="21" spans="1:20" x14ac:dyDescent="0.25">
      <c r="A21" s="9" t="s">
        <v>106</v>
      </c>
      <c r="B21" s="79"/>
      <c r="C21" s="74"/>
      <c r="D21" s="74"/>
      <c r="E21" s="74"/>
      <c r="F21" s="74"/>
      <c r="G21" s="74"/>
      <c r="H21" s="74"/>
      <c r="I21" s="74"/>
      <c r="J21" s="74"/>
      <c r="K21" s="74"/>
      <c r="L21" s="74"/>
      <c r="M21" s="24">
        <v>0.59166666670000001</v>
      </c>
      <c r="N21" s="27" t="s">
        <v>59</v>
      </c>
      <c r="O21" s="28">
        <v>16</v>
      </c>
      <c r="P21" s="74"/>
      <c r="Q21" s="74"/>
      <c r="R21" s="74"/>
      <c r="S21" s="10" t="s">
        <v>107</v>
      </c>
      <c r="T21" s="34">
        <v>220</v>
      </c>
    </row>
    <row r="22" spans="1:20" x14ac:dyDescent="0.25">
      <c r="A22" s="9" t="s">
        <v>108</v>
      </c>
      <c r="B22" s="74"/>
      <c r="C22" s="74"/>
      <c r="D22" s="74"/>
      <c r="E22" s="74"/>
      <c r="F22" s="74"/>
      <c r="G22" s="74"/>
      <c r="H22" s="74"/>
      <c r="I22" s="74"/>
      <c r="J22" s="74"/>
      <c r="K22" s="74"/>
      <c r="L22" s="74"/>
      <c r="M22" s="24">
        <v>0.71</v>
      </c>
      <c r="N22" s="27" t="s">
        <v>109</v>
      </c>
      <c r="O22" s="28">
        <v>20</v>
      </c>
      <c r="P22" s="74"/>
      <c r="Q22" s="74"/>
      <c r="R22" s="74"/>
      <c r="S22" s="10" t="s">
        <v>110</v>
      </c>
      <c r="T22" s="34">
        <v>230</v>
      </c>
    </row>
    <row r="23" spans="1:20" x14ac:dyDescent="0.25">
      <c r="A23" s="9" t="s">
        <v>111</v>
      </c>
      <c r="B23" s="74"/>
      <c r="C23" s="74"/>
      <c r="D23" s="74"/>
      <c r="E23" s="74"/>
      <c r="F23" s="74"/>
      <c r="G23" s="74"/>
      <c r="H23" s="74"/>
      <c r="I23" s="74"/>
      <c r="J23" s="74"/>
      <c r="K23" s="74"/>
      <c r="L23" s="74"/>
      <c r="M23" s="24">
        <v>2.3666666670000001</v>
      </c>
      <c r="N23" s="27" t="s">
        <v>112</v>
      </c>
      <c r="O23" s="28">
        <v>67</v>
      </c>
      <c r="P23" s="74"/>
      <c r="Q23" s="74"/>
      <c r="R23" s="74"/>
      <c r="S23" s="10" t="s">
        <v>113</v>
      </c>
      <c r="T23" s="34">
        <v>240</v>
      </c>
    </row>
    <row r="24" spans="1:20" x14ac:dyDescent="0.25">
      <c r="A24" s="9" t="s">
        <v>114</v>
      </c>
      <c r="B24" s="74"/>
      <c r="C24" s="74"/>
      <c r="D24" s="74"/>
      <c r="E24" s="74"/>
      <c r="F24" s="74"/>
      <c r="G24" s="74"/>
      <c r="H24" s="74"/>
      <c r="I24" s="74"/>
      <c r="J24" s="74"/>
      <c r="K24" s="74"/>
      <c r="L24" s="74"/>
      <c r="M24" s="24">
        <v>0.71</v>
      </c>
      <c r="N24" s="27" t="s">
        <v>115</v>
      </c>
      <c r="O24" s="28">
        <v>20</v>
      </c>
      <c r="P24" s="74"/>
      <c r="Q24" s="74"/>
      <c r="R24" s="74"/>
      <c r="S24" s="10" t="s">
        <v>75</v>
      </c>
      <c r="T24" s="34">
        <v>250</v>
      </c>
    </row>
    <row r="25" spans="1:20" x14ac:dyDescent="0.25">
      <c r="A25" s="9" t="s">
        <v>116</v>
      </c>
      <c r="B25" s="74"/>
      <c r="C25" s="74"/>
      <c r="D25" s="74"/>
      <c r="E25" s="74"/>
      <c r="F25" s="74"/>
      <c r="G25" s="74"/>
      <c r="H25" s="74"/>
      <c r="I25" s="74"/>
      <c r="J25" s="74"/>
      <c r="K25" s="74"/>
      <c r="L25" s="74"/>
      <c r="M25" s="32" t="s">
        <v>44</v>
      </c>
      <c r="N25" s="27" t="s">
        <v>117</v>
      </c>
      <c r="O25" s="28">
        <v>2</v>
      </c>
      <c r="P25" s="82"/>
      <c r="Q25" s="74"/>
      <c r="R25" s="74"/>
      <c r="S25" s="74"/>
      <c r="T25" s="34">
        <v>260</v>
      </c>
    </row>
    <row r="26" spans="1:20" x14ac:dyDescent="0.25">
      <c r="A26" s="88"/>
      <c r="B26" s="74"/>
      <c r="C26" s="74"/>
      <c r="D26" s="74"/>
      <c r="E26" s="74"/>
      <c r="F26" s="74"/>
      <c r="G26" s="74"/>
      <c r="H26" s="74"/>
      <c r="I26" s="74"/>
      <c r="J26" s="74"/>
      <c r="K26" s="74"/>
      <c r="L26" s="74"/>
      <c r="M26" s="24">
        <v>1.7749999999999999</v>
      </c>
      <c r="N26" s="27" t="s">
        <v>118</v>
      </c>
      <c r="O26" s="28">
        <v>50</v>
      </c>
      <c r="P26" s="74"/>
      <c r="Q26" s="74"/>
      <c r="R26" s="74"/>
      <c r="S26" s="74"/>
      <c r="T26" s="34">
        <v>270</v>
      </c>
    </row>
    <row r="27" spans="1:20" x14ac:dyDescent="0.25">
      <c r="A27" s="74"/>
      <c r="B27" s="74"/>
      <c r="C27" s="74"/>
      <c r="D27" s="74"/>
      <c r="E27" s="74"/>
      <c r="F27" s="74"/>
      <c r="G27" s="74"/>
      <c r="H27" s="74"/>
      <c r="I27" s="74"/>
      <c r="J27" s="74"/>
      <c r="K27" s="74"/>
      <c r="L27" s="74"/>
      <c r="M27" s="24">
        <v>3.55</v>
      </c>
      <c r="N27" s="27" t="s">
        <v>119</v>
      </c>
      <c r="O27" s="28">
        <v>101</v>
      </c>
      <c r="P27" s="74"/>
      <c r="Q27" s="74"/>
      <c r="R27" s="74"/>
      <c r="S27" s="74"/>
      <c r="T27" s="34">
        <v>280</v>
      </c>
    </row>
    <row r="28" spans="1:20" x14ac:dyDescent="0.25">
      <c r="A28" s="74"/>
      <c r="B28" s="74"/>
      <c r="C28" s="74"/>
      <c r="D28" s="74"/>
      <c r="E28" s="74"/>
      <c r="F28" s="74"/>
      <c r="G28" s="74"/>
      <c r="H28" s="74"/>
      <c r="I28" s="74"/>
      <c r="J28" s="74"/>
      <c r="K28" s="74"/>
      <c r="L28" s="74"/>
      <c r="M28" s="24">
        <v>1.7749999999999999</v>
      </c>
      <c r="N28" s="27" t="s">
        <v>75</v>
      </c>
      <c r="O28" s="28">
        <v>50</v>
      </c>
      <c r="P28" s="74"/>
      <c r="Q28" s="74"/>
      <c r="R28" s="74"/>
      <c r="S28" s="74"/>
      <c r="T28" s="34">
        <v>290</v>
      </c>
    </row>
    <row r="29" spans="1:20" x14ac:dyDescent="0.25">
      <c r="A29" s="74"/>
      <c r="B29" s="74"/>
      <c r="C29" s="74"/>
      <c r="D29" s="74"/>
      <c r="E29" s="74"/>
      <c r="F29" s="74"/>
      <c r="G29" s="74"/>
      <c r="H29" s="74"/>
      <c r="I29" s="74"/>
      <c r="J29" s="74"/>
      <c r="K29" s="74"/>
      <c r="L29" s="74"/>
      <c r="M29" s="79"/>
      <c r="N29" s="74"/>
      <c r="O29" s="74"/>
      <c r="P29" s="74"/>
      <c r="Q29" s="74"/>
      <c r="R29" s="74"/>
      <c r="S29" s="74"/>
      <c r="T29" s="34">
        <v>300</v>
      </c>
    </row>
    <row r="30" spans="1:20" x14ac:dyDescent="0.25">
      <c r="A30" s="74"/>
      <c r="B30" s="74"/>
      <c r="C30" s="74"/>
      <c r="D30" s="74"/>
      <c r="E30" s="74"/>
      <c r="F30" s="74"/>
      <c r="G30" s="74"/>
      <c r="H30" s="74"/>
      <c r="I30" s="74"/>
      <c r="J30" s="74"/>
      <c r="K30" s="74"/>
      <c r="L30" s="74"/>
      <c r="M30" s="74"/>
      <c r="N30" s="74"/>
      <c r="O30" s="74"/>
      <c r="P30" s="74"/>
      <c r="Q30" s="74"/>
      <c r="R30" s="74"/>
      <c r="S30" s="74"/>
      <c r="T30" s="34">
        <v>310</v>
      </c>
    </row>
    <row r="31" spans="1:20" x14ac:dyDescent="0.25">
      <c r="A31" s="74"/>
      <c r="B31" s="74"/>
      <c r="C31" s="74"/>
      <c r="D31" s="74"/>
      <c r="E31" s="74"/>
      <c r="F31" s="74"/>
      <c r="G31" s="74"/>
      <c r="H31" s="74"/>
      <c r="I31" s="74"/>
      <c r="J31" s="74"/>
      <c r="K31" s="74"/>
      <c r="L31" s="74"/>
      <c r="M31" s="74"/>
      <c r="N31" s="74"/>
      <c r="O31" s="74"/>
      <c r="P31" s="74"/>
      <c r="Q31" s="74"/>
      <c r="R31" s="74"/>
      <c r="S31" s="74"/>
      <c r="T31" s="34">
        <v>320</v>
      </c>
    </row>
    <row r="32" spans="1:20" x14ac:dyDescent="0.25">
      <c r="A32" s="74"/>
      <c r="B32" s="74"/>
      <c r="C32" s="74"/>
      <c r="D32" s="74"/>
      <c r="E32" s="74"/>
      <c r="F32" s="74"/>
      <c r="G32" s="74"/>
      <c r="H32" s="74"/>
      <c r="I32" s="74"/>
      <c r="J32" s="74"/>
      <c r="K32" s="74"/>
      <c r="L32" s="74"/>
      <c r="M32" s="74"/>
      <c r="N32" s="74"/>
      <c r="O32" s="74"/>
      <c r="P32" s="74"/>
      <c r="Q32" s="74"/>
      <c r="R32" s="74"/>
      <c r="S32" s="74"/>
      <c r="T32" s="34">
        <v>330</v>
      </c>
    </row>
    <row r="33" spans="1:20" x14ac:dyDescent="0.25">
      <c r="A33" s="74"/>
      <c r="B33" s="74"/>
      <c r="C33" s="74"/>
      <c r="D33" s="74"/>
      <c r="E33" s="74"/>
      <c r="F33" s="74"/>
      <c r="G33" s="74"/>
      <c r="H33" s="74"/>
      <c r="I33" s="74"/>
      <c r="J33" s="74"/>
      <c r="K33" s="74"/>
      <c r="L33" s="74"/>
      <c r="M33" s="74"/>
      <c r="N33" s="74"/>
      <c r="O33" s="74"/>
      <c r="P33" s="74"/>
      <c r="Q33" s="74"/>
      <c r="R33" s="74"/>
      <c r="S33" s="74"/>
      <c r="T33" s="34">
        <v>340</v>
      </c>
    </row>
    <row r="34" spans="1:20" x14ac:dyDescent="0.25">
      <c r="A34" s="74"/>
      <c r="B34" s="74"/>
      <c r="C34" s="74"/>
      <c r="D34" s="74"/>
      <c r="E34" s="74"/>
      <c r="F34" s="74"/>
      <c r="G34" s="74"/>
      <c r="H34" s="74"/>
      <c r="I34" s="74"/>
      <c r="J34" s="74"/>
      <c r="K34" s="74"/>
      <c r="L34" s="74"/>
      <c r="M34" s="74"/>
      <c r="N34" s="74"/>
      <c r="O34" s="74"/>
      <c r="P34" s="74"/>
      <c r="Q34" s="74"/>
      <c r="R34" s="74"/>
      <c r="S34" s="74"/>
      <c r="T34" s="34">
        <v>350</v>
      </c>
    </row>
    <row r="35" spans="1:20" x14ac:dyDescent="0.25">
      <c r="A35" s="74"/>
      <c r="B35" s="74"/>
      <c r="C35" s="74"/>
      <c r="D35" s="74"/>
      <c r="E35" s="74"/>
      <c r="F35" s="74"/>
      <c r="G35" s="74"/>
      <c r="H35" s="74"/>
      <c r="I35" s="74"/>
      <c r="J35" s="74"/>
      <c r="K35" s="74"/>
      <c r="L35" s="74"/>
      <c r="M35" s="74"/>
      <c r="N35" s="74"/>
      <c r="O35" s="74"/>
      <c r="P35" s="74"/>
      <c r="Q35" s="74"/>
      <c r="R35" s="74"/>
      <c r="S35" s="74"/>
      <c r="T35" s="34">
        <v>360</v>
      </c>
    </row>
    <row r="36" spans="1:20" x14ac:dyDescent="0.25">
      <c r="A36" s="74"/>
      <c r="B36" s="74"/>
      <c r="C36" s="74"/>
      <c r="D36" s="74"/>
      <c r="E36" s="74"/>
      <c r="F36" s="74"/>
      <c r="G36" s="74"/>
      <c r="H36" s="74"/>
      <c r="I36" s="74"/>
      <c r="J36" s="74"/>
      <c r="K36" s="74"/>
      <c r="L36" s="74"/>
      <c r="M36" s="74"/>
      <c r="N36" s="74"/>
      <c r="O36" s="74"/>
      <c r="P36" s="74"/>
      <c r="Q36" s="74"/>
      <c r="R36" s="74"/>
      <c r="S36" s="74"/>
      <c r="T36" s="34">
        <v>370</v>
      </c>
    </row>
    <row r="37" spans="1:20" x14ac:dyDescent="0.25">
      <c r="A37" s="74"/>
      <c r="B37" s="74"/>
      <c r="C37" s="74"/>
      <c r="D37" s="74"/>
      <c r="E37" s="74"/>
      <c r="F37" s="74"/>
      <c r="G37" s="74"/>
      <c r="H37" s="74"/>
      <c r="I37" s="74"/>
      <c r="J37" s="74"/>
      <c r="K37" s="74"/>
      <c r="L37" s="74"/>
      <c r="M37" s="74"/>
      <c r="N37" s="74"/>
      <c r="O37" s="74"/>
      <c r="P37" s="74"/>
      <c r="Q37" s="74"/>
      <c r="R37" s="74"/>
      <c r="S37" s="74"/>
      <c r="T37" s="34">
        <v>380</v>
      </c>
    </row>
    <row r="38" spans="1:20" x14ac:dyDescent="0.25">
      <c r="A38" s="74"/>
      <c r="B38" s="74"/>
      <c r="C38" s="74"/>
      <c r="D38" s="74"/>
      <c r="E38" s="74"/>
      <c r="F38" s="74"/>
      <c r="G38" s="74"/>
      <c r="H38" s="74"/>
      <c r="I38" s="74"/>
      <c r="J38" s="74"/>
      <c r="K38" s="74"/>
      <c r="L38" s="74"/>
      <c r="M38" s="74"/>
      <c r="N38" s="74"/>
      <c r="O38" s="74"/>
      <c r="P38" s="74"/>
      <c r="Q38" s="74"/>
      <c r="R38" s="74"/>
      <c r="S38" s="74"/>
      <c r="T38" s="34">
        <v>390</v>
      </c>
    </row>
    <row r="39" spans="1:20" x14ac:dyDescent="0.25">
      <c r="A39" s="74"/>
      <c r="B39" s="74"/>
      <c r="C39" s="74"/>
      <c r="D39" s="74"/>
      <c r="E39" s="74"/>
      <c r="F39" s="74"/>
      <c r="G39" s="74"/>
      <c r="H39" s="74"/>
      <c r="I39" s="74"/>
      <c r="J39" s="74"/>
      <c r="K39" s="74"/>
      <c r="L39" s="74"/>
      <c r="M39" s="74"/>
      <c r="N39" s="74"/>
      <c r="O39" s="74"/>
      <c r="P39" s="74"/>
      <c r="Q39" s="74"/>
      <c r="R39" s="74"/>
      <c r="S39" s="74"/>
      <c r="T39" s="34">
        <v>400</v>
      </c>
    </row>
  </sheetData>
  <mergeCells count="47">
    <mergeCell ref="P25:S39"/>
    <mergeCell ref="M29:O39"/>
    <mergeCell ref="J11:K11"/>
    <mergeCell ref="D12:E12"/>
    <mergeCell ref="J12:K12"/>
    <mergeCell ref="D13:E13"/>
    <mergeCell ref="I13:K13"/>
    <mergeCell ref="F14:L25"/>
    <mergeCell ref="D17:E17"/>
    <mergeCell ref="A26:L39"/>
    <mergeCell ref="F9:H13"/>
    <mergeCell ref="J9:K9"/>
    <mergeCell ref="J10:K10"/>
    <mergeCell ref="D10:E10"/>
    <mergeCell ref="D11:E11"/>
    <mergeCell ref="B18:B20"/>
    <mergeCell ref="D18:E18"/>
    <mergeCell ref="D19:E19"/>
    <mergeCell ref="D20:E20"/>
    <mergeCell ref="B21:E25"/>
    <mergeCell ref="Q1:S1"/>
    <mergeCell ref="Q2:S2"/>
    <mergeCell ref="D14:E14"/>
    <mergeCell ref="D15:E15"/>
    <mergeCell ref="A16:E16"/>
    <mergeCell ref="P12:R24"/>
    <mergeCell ref="D2:E2"/>
    <mergeCell ref="F2:G3"/>
    <mergeCell ref="D3:E3"/>
    <mergeCell ref="M1:O1"/>
    <mergeCell ref="M2:O2"/>
    <mergeCell ref="J2:K2"/>
    <mergeCell ref="J3:K3"/>
    <mergeCell ref="B4:C4"/>
    <mergeCell ref="J4:K4"/>
    <mergeCell ref="A8:C8"/>
    <mergeCell ref="A1:G1"/>
    <mergeCell ref="H1:H4"/>
    <mergeCell ref="I1:K1"/>
    <mergeCell ref="L1:L13"/>
    <mergeCell ref="P1:P11"/>
    <mergeCell ref="B9:D9"/>
    <mergeCell ref="D5:H8"/>
    <mergeCell ref="J5:K5"/>
    <mergeCell ref="J6:K6"/>
    <mergeCell ref="J7:K7"/>
    <mergeCell ref="J8:K8"/>
  </mergeCells>
  <dataValidations count="1">
    <dataValidation type="list" allowBlank="1" sqref="D3" xr:uid="{00000000-0002-0000-0200-000000000000}">
      <formula1>$T$1:$T$39</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0"/>
  <sheetViews>
    <sheetView workbookViewId="0">
      <selection activeCell="C6" sqref="C6"/>
    </sheetView>
  </sheetViews>
  <sheetFormatPr defaultColWidth="12.6640625" defaultRowHeight="15.75" customHeight="1" x14ac:dyDescent="0.25"/>
  <cols>
    <col min="2" max="2" width="5.109375" customWidth="1"/>
    <col min="3" max="3" width="4.109375" customWidth="1"/>
    <col min="4" max="4" width="4.33203125" customWidth="1"/>
    <col min="5" max="5" width="4.109375" customWidth="1"/>
    <col min="6" max="6" width="4.33203125" customWidth="1"/>
    <col min="7" max="7" width="6" customWidth="1"/>
    <col min="8" max="8" width="2" customWidth="1"/>
    <col min="9" max="9" width="12.21875" customWidth="1"/>
    <col min="10" max="10" width="5" customWidth="1"/>
    <col min="11" max="11" width="4.88671875" customWidth="1"/>
    <col min="12" max="12" width="4.33203125" customWidth="1"/>
    <col min="13" max="13" width="4.88671875" customWidth="1"/>
    <col min="14" max="15" width="5.21875" customWidth="1"/>
    <col min="16" max="16" width="5.77734375" customWidth="1"/>
    <col min="17" max="17" width="6.21875" customWidth="1"/>
    <col min="18" max="18" width="2" customWidth="1"/>
    <col min="20" max="20" width="3.88671875" customWidth="1"/>
    <col min="21" max="21" width="4.109375" customWidth="1"/>
    <col min="22" max="22" width="4.21875" customWidth="1"/>
    <col min="23" max="23" width="3.88671875" customWidth="1"/>
    <col min="24" max="24" width="5.6640625" customWidth="1"/>
    <col min="25" max="25" width="6.21875" customWidth="1"/>
    <col min="26" max="26" width="2" hidden="1" customWidth="1"/>
  </cols>
  <sheetData>
    <row r="1" spans="1:26" x14ac:dyDescent="0.25">
      <c r="A1" s="100" t="s">
        <v>120</v>
      </c>
      <c r="B1" s="74"/>
      <c r="C1" s="74"/>
      <c r="D1" s="74"/>
      <c r="E1" s="74"/>
      <c r="F1" s="74"/>
      <c r="G1" s="74"/>
      <c r="H1" s="88"/>
      <c r="I1" s="81" t="s">
        <v>121</v>
      </c>
      <c r="J1" s="74"/>
      <c r="K1" s="74"/>
      <c r="L1" s="74"/>
      <c r="M1" s="74"/>
      <c r="N1" s="74"/>
      <c r="O1" s="74"/>
      <c r="P1" s="74"/>
      <c r="Q1" s="74"/>
      <c r="R1" s="88"/>
      <c r="S1" s="81" t="s">
        <v>122</v>
      </c>
      <c r="T1" s="74"/>
      <c r="U1" s="74"/>
      <c r="V1" s="74"/>
      <c r="W1" s="74"/>
      <c r="X1" s="74"/>
      <c r="Y1" s="74"/>
      <c r="Z1" s="34">
        <v>1</v>
      </c>
    </row>
    <row r="2" spans="1:26" x14ac:dyDescent="0.25">
      <c r="A2" s="81" t="s">
        <v>123</v>
      </c>
      <c r="B2" s="74"/>
      <c r="C2" s="74"/>
      <c r="D2" s="74"/>
      <c r="E2" s="74"/>
      <c r="F2" s="74"/>
      <c r="G2" s="74"/>
      <c r="H2" s="74"/>
      <c r="I2" s="35"/>
      <c r="J2" s="97" t="s">
        <v>124</v>
      </c>
      <c r="K2" s="74"/>
      <c r="L2" s="74"/>
      <c r="M2" s="74"/>
      <c r="N2" s="74"/>
      <c r="O2" s="74"/>
      <c r="P2" s="74"/>
      <c r="Q2" s="74"/>
      <c r="R2" s="74"/>
      <c r="S2" s="35"/>
      <c r="T2" s="97" t="s">
        <v>124</v>
      </c>
      <c r="U2" s="74"/>
      <c r="V2" s="74"/>
      <c r="W2" s="74"/>
      <c r="X2" s="74"/>
      <c r="Y2" s="74"/>
      <c r="Z2" s="34">
        <v>2</v>
      </c>
    </row>
    <row r="3" spans="1:26" x14ac:dyDescent="0.25">
      <c r="A3" s="35"/>
      <c r="B3" s="97" t="s">
        <v>124</v>
      </c>
      <c r="C3" s="74"/>
      <c r="D3" s="74"/>
      <c r="E3" s="74"/>
      <c r="F3" s="74"/>
      <c r="G3" s="74"/>
      <c r="H3" s="74"/>
      <c r="I3" s="36" t="s">
        <v>125</v>
      </c>
      <c r="J3" s="98" t="s">
        <v>126</v>
      </c>
      <c r="K3" s="74"/>
      <c r="L3" s="98" t="s">
        <v>127</v>
      </c>
      <c r="M3" s="74"/>
      <c r="N3" s="98" t="s">
        <v>128</v>
      </c>
      <c r="O3" s="74"/>
      <c r="P3" s="99" t="s">
        <v>129</v>
      </c>
      <c r="Q3" s="74"/>
      <c r="R3" s="74"/>
      <c r="S3" s="36" t="s">
        <v>125</v>
      </c>
      <c r="T3" s="98" t="s">
        <v>126</v>
      </c>
      <c r="U3" s="74"/>
      <c r="V3" s="98" t="s">
        <v>127</v>
      </c>
      <c r="W3" s="74"/>
      <c r="X3" s="99" t="s">
        <v>129</v>
      </c>
      <c r="Y3" s="74"/>
      <c r="Z3" s="34">
        <v>3</v>
      </c>
    </row>
    <row r="4" spans="1:26" ht="15.75" customHeight="1" x14ac:dyDescent="0.45">
      <c r="A4" s="36" t="s">
        <v>125</v>
      </c>
      <c r="B4" s="98" t="s">
        <v>126</v>
      </c>
      <c r="C4" s="74"/>
      <c r="D4" s="98" t="s">
        <v>127</v>
      </c>
      <c r="E4" s="74"/>
      <c r="F4" s="98" t="s">
        <v>128</v>
      </c>
      <c r="G4" s="74"/>
      <c r="H4" s="74"/>
      <c r="I4" s="38" t="s">
        <v>130</v>
      </c>
      <c r="J4" s="39">
        <f>IF(Z13&lt;2.5, 12, IF(AND(Z13&gt;2.5,Z13&lt;3.5), (12*0.75), IF(AND(Z13&gt;3.5,Z13&lt;4.5), (12*0.66), IF(AND(Z13&gt;4.5,Z13&lt;5.5), (12*0.5), IF(AND(Z13&gt;5.5), (12*0.25))))))</f>
        <v>12</v>
      </c>
      <c r="K4" s="40">
        <f t="shared" ref="K4:K11" si="0">J4*1.609344</f>
        <v>19.312128000000001</v>
      </c>
      <c r="L4" s="39">
        <f>IF(Z13&lt;2.5, 9, IF(AND(Z13&gt;2.5,Z13&lt;3.5), (9*0.75), IF(AND(Z13&gt;3.5,Z13&lt;4.5), (9*0.66), IF(AND(Z13&gt;4.5,Z13&lt;5.5), (9*0.5), IF(AND(Z13&gt;5.5), (9*0.25))))))</f>
        <v>9</v>
      </c>
      <c r="M4" s="40">
        <f t="shared" ref="M4:M11" si="1">L4*1.609344</f>
        <v>14.484096000000001</v>
      </c>
      <c r="N4" s="39">
        <f>IF(Z13&lt;2.5, 6, IF(AND(Z13&gt;2.5,Z13&lt;3.5), (6*0.75), IF(AND(Z13&gt;3.5,Z13&lt;4.5), (6*0.66), IF(AND(Z13&gt;4.5,Z13&lt;5.5), (6*0.5), IF(AND(Z13&gt;5.5), (6*0.25))))))</f>
        <v>6</v>
      </c>
      <c r="O4" s="40">
        <f t="shared" ref="O4:O6" si="2">N4*1.609344</f>
        <v>9.6560640000000006</v>
      </c>
      <c r="P4" s="10">
        <v>250</v>
      </c>
      <c r="Q4" s="40">
        <f>P4*0.45359237</f>
        <v>113.3980925</v>
      </c>
      <c r="R4" s="74"/>
      <c r="S4" s="38" t="s">
        <v>131</v>
      </c>
      <c r="T4" s="32" t="s">
        <v>132</v>
      </c>
      <c r="U4" s="40" t="s">
        <v>132</v>
      </c>
      <c r="V4" s="32" t="s">
        <v>132</v>
      </c>
      <c r="W4" s="40" t="s">
        <v>132</v>
      </c>
      <c r="X4" s="32" t="s">
        <v>132</v>
      </c>
      <c r="Y4" s="41" t="s">
        <v>132</v>
      </c>
      <c r="Z4" s="34">
        <v>4</v>
      </c>
    </row>
    <row r="5" spans="1:26" ht="15.75" customHeight="1" x14ac:dyDescent="0.45">
      <c r="A5" s="38" t="s">
        <v>133</v>
      </c>
      <c r="B5" s="39">
        <f>IF(Z13&lt;2.5, 15, IF(AND(Z13&gt;2.5,Z13&lt;3.5), (15*0.75), IF(AND(Z13&gt;3.5,Z13&lt;4.5), (15*0.66), IF(AND(Z13&gt;4.5,Z13&lt;5.5), (15*0.5), IF(AND(Z13&gt;5.5), (15*0.25))))))</f>
        <v>15</v>
      </c>
      <c r="C5" s="40">
        <f t="shared" ref="C5:C9" si="3">B5*1.609344</f>
        <v>24.140160000000002</v>
      </c>
      <c r="D5" s="39">
        <f>IF(Z13&lt;2.5, 12, IF(AND(Z13&gt;2.5,Z13&lt;3.5), (12*0.75), IF(AND(Z13&gt;3.5,Z13&lt;4.5), (12*0.66), IF(AND(Z13&gt;4.5,Z13&lt;5.5), (12*0.5), IF(AND(Z13&gt;5.5), (12*0.25))))))</f>
        <v>12</v>
      </c>
      <c r="E5" s="40">
        <f t="shared" ref="E5:E9" si="4">D5*1.609344</f>
        <v>19.312128000000001</v>
      </c>
      <c r="F5" s="42">
        <f>IF(Z13&lt;2.5, 8, IF(AND(Z13&gt;2.5,Z13&lt;3.5), (8*0.75), IF(AND(Z13&gt;3.5,Z13&lt;4.5), (8*0.66), IF(AND(Z13&gt;4.5,Z13&lt;5.5), (8*0.5), IF(AND(Z13&gt;5.5), (8*0.25))))))</f>
        <v>8</v>
      </c>
      <c r="G5" s="40">
        <f t="shared" ref="G5:G9" si="5">F5*1.609344</f>
        <v>12.874752000000001</v>
      </c>
      <c r="H5" s="74"/>
      <c r="I5" s="43" t="s">
        <v>134</v>
      </c>
      <c r="J5" s="39">
        <f>IF(Z13&lt;2.5, 6, IF(AND(Z13&gt;2.5,Z13&lt;3.5), (6*0.75), IF(AND(Z13&gt;3.5,Z13&lt;4.5), (6*0.66), IF(AND(Z13&gt;4.5,Z13&lt;5.5), (6*0.5), IF(AND(Z13&gt;5.5), (6*0.25))))))</f>
        <v>6</v>
      </c>
      <c r="K5" s="40">
        <f t="shared" si="0"/>
        <v>9.6560640000000006</v>
      </c>
      <c r="L5" s="39">
        <f>IF(Z13&lt;2.5, 6, IF(AND(Z13&gt;2.5,Z13&lt;3.5), (6*0.75), IF(AND(Z13&gt;3.5,Z13&lt;4.5), (6*0.66), IF(AND(Z13&gt;4.5,Z13&lt;5.5), (6*0.5), IF(AND(Z13&gt;5.5), (6*0.25))))))</f>
        <v>6</v>
      </c>
      <c r="M5" s="40">
        <f t="shared" si="1"/>
        <v>9.6560640000000006</v>
      </c>
      <c r="N5" s="39">
        <f>IF(Z13&lt;2.5, 3, IF(AND(Z13&gt;2.5,Z13&lt;3.5), (3*0.75), IF(AND(Z13&gt;3.5,Z13&lt;4.5), (3*0.66), IF(AND(Z13&gt;4.5,Z13&lt;5.5), (3*0.5), IF(AND(Z13&gt;5.5), (3*0.25))))))</f>
        <v>3</v>
      </c>
      <c r="O5" s="40">
        <f t="shared" si="2"/>
        <v>4.8280320000000003</v>
      </c>
      <c r="P5" s="10" t="s">
        <v>132</v>
      </c>
      <c r="Q5" s="37" t="s">
        <v>132</v>
      </c>
      <c r="R5" s="74"/>
      <c r="S5" s="43" t="s">
        <v>135</v>
      </c>
      <c r="T5" s="42">
        <f>IF(Z13&lt;2.5, 8, IF(AND(Z13&gt;2.5,Z13&lt;3.5), (8*0.75), IF(AND(Z13&gt;3.5,Z13&lt;4.5), (8*0.66), IF(AND(Z13&gt;4.5,Z13&lt;5.5), (8*0.5), IF(AND(Z13&gt;5.5), (8*0.25))))))</f>
        <v>8</v>
      </c>
      <c r="U5" s="40">
        <f t="shared" ref="U5:U7" si="6">T5*1.609344</f>
        <v>12.874752000000001</v>
      </c>
      <c r="V5" s="42">
        <f>IF(Z13&lt;2.5, 4, IF(AND(Z13&gt;2.5,Z13&lt;3.5), (4*0.75), IF(AND(Z13&gt;3.5,Z13&lt;4.5), (4*0.66), IF(AND(Z13&gt;4.5,Z13&lt;5.5), (4*0.5), IF(AND(Z13&gt;5.5), (4*0.25))))))</f>
        <v>4</v>
      </c>
      <c r="W5" s="40">
        <f t="shared" ref="W5:W7" si="7">V5*1.609344</f>
        <v>6.4373760000000004</v>
      </c>
      <c r="X5" s="32">
        <v>350</v>
      </c>
      <c r="Y5" s="40">
        <f t="shared" ref="Y5:Y7" si="8">X5*0.45359237</f>
        <v>158.7573295</v>
      </c>
      <c r="Z5" s="34">
        <v>5</v>
      </c>
    </row>
    <row r="6" spans="1:26" ht="15.75" customHeight="1" x14ac:dyDescent="0.45">
      <c r="A6" s="38" t="s">
        <v>136</v>
      </c>
      <c r="B6" s="39">
        <f>IF(Z13&lt;2.5, 12, IF(AND(Z13&gt;2.5,Z13&lt;3.5), (12*0.75), IF(AND(Z13&gt;3.5,Z13&lt;4.5), (12*0.66), IF(AND(Z13&gt;4.5,Z13&lt;5.5), (12*0.5), IF(AND(Z13&gt;5.5), (12*0.25))))))</f>
        <v>12</v>
      </c>
      <c r="C6" s="40">
        <f t="shared" si="3"/>
        <v>19.312128000000001</v>
      </c>
      <c r="D6" s="39">
        <f>IF(Z13&lt;2.5, 12, IF(AND(Z13&gt;2.5,Z13&lt;3.5), (12*0.75), IF(AND(Z13&gt;3.5,Z13&lt;4.5), (12*0.66), IF(AND(Z13&gt;4.5,Z13&lt;5.5), (12*0.5), IF(AND(Z13&gt;5.5), (12*0.25))))))</f>
        <v>12</v>
      </c>
      <c r="E6" s="40">
        <f t="shared" si="4"/>
        <v>19.312128000000001</v>
      </c>
      <c r="F6" s="42">
        <f>IF(Z13&lt;2.5, 6, IF(AND(Z13&gt;2.5,Z13&lt;3.5), (6*0.75), IF(AND(Z13&gt;3.5,Z13&lt;4.5), (6*0.66), IF(AND(Z13&gt;4.5,Z13&lt;5.5), (6*0.5), IF(AND(Z13&gt;5.5), (6*0.25))))))</f>
        <v>6</v>
      </c>
      <c r="G6" s="40">
        <f t="shared" si="5"/>
        <v>9.6560640000000006</v>
      </c>
      <c r="H6" s="74"/>
      <c r="I6" s="38" t="s">
        <v>137</v>
      </c>
      <c r="J6" s="39">
        <f>IF(Z13&lt;2.5, 12, IF(AND(Z13&gt;2.5,Z13&lt;3.5), (12*0.75), IF(AND(Z13&gt;3.5,Z13&lt;4.5), (12*0.66), IF(AND(Z13&gt;4.5,Z13&lt;5.5), (12*0.5), IF(AND(Z13&gt;5.5), (12*0.25))))))</f>
        <v>12</v>
      </c>
      <c r="K6" s="40">
        <f t="shared" si="0"/>
        <v>19.312128000000001</v>
      </c>
      <c r="L6" s="39">
        <f>IF(Z13&lt;2.5, 6, IF(AND(Z13&gt;2.5,Z13&lt;3.5), (6*0.75), IF(AND(Z13&gt;3.5,Z13&lt;4.5), (6*0.66), IF(AND(Z13&gt;4.5,Z13&lt;5.5), (6*0.5), IF(AND(Z13&gt;5.5), (6*0.25))))))</f>
        <v>6</v>
      </c>
      <c r="M6" s="40">
        <f t="shared" si="1"/>
        <v>9.6560640000000006</v>
      </c>
      <c r="N6" s="39">
        <f>IF(Z13&lt;2.5, 3, IF(AND(Z13&gt;2.5,Z13&lt;3.5), (3*0.75), IF(AND(Z13&gt;3.5,Z13&lt;4.5), (3*0.66), IF(AND(Z13&gt;4.5,Z13&lt;5.5), (3*0.5), IF(AND(Z13&gt;5.5), (3*0.25))))))</f>
        <v>3</v>
      </c>
      <c r="O6" s="40">
        <f t="shared" si="2"/>
        <v>4.8280320000000003</v>
      </c>
      <c r="P6" s="10">
        <v>300</v>
      </c>
      <c r="Q6" s="40">
        <f>P6*0.45359237</f>
        <v>136.07771099999999</v>
      </c>
      <c r="R6" s="74"/>
      <c r="S6" s="43" t="s">
        <v>138</v>
      </c>
      <c r="T6" s="42">
        <f>IF(Z13&lt;2.5, 12, IF(AND(Z13&gt;2.5,Z13&lt;3.5), (12*0.75), IF(AND(Z13&gt;3.5,Z13&lt;4.5), (12*0.66), IF(AND(Z13&gt;4.5,Z13&lt;5.5), (12*0.5), IF(AND(Z13&gt;5.5), (12*0.25))))))</f>
        <v>12</v>
      </c>
      <c r="U6" s="40">
        <f t="shared" si="6"/>
        <v>19.312128000000001</v>
      </c>
      <c r="V6" s="42">
        <f>IF(Z13&lt;2.5, 5, IF(AND(Z13&gt;2.5,Z13&lt;3.5), (5*0.75), IF(AND(Z13&gt;3.5,Z13&lt;4.5), (5*0.66), IF(AND(Z13&gt;4.5,Z13&lt;5.5), (5*0.5), IF(AND(Z13&gt;5.5), (5*0.25))))))</f>
        <v>5</v>
      </c>
      <c r="W6" s="44">
        <f t="shared" si="7"/>
        <v>8.0467200000000005</v>
      </c>
      <c r="X6" s="32">
        <v>600</v>
      </c>
      <c r="Y6" s="40">
        <f t="shared" si="8"/>
        <v>272.15542199999999</v>
      </c>
      <c r="Z6" s="34">
        <v>6</v>
      </c>
    </row>
    <row r="7" spans="1:26" ht="15.75" customHeight="1" x14ac:dyDescent="0.45">
      <c r="A7" s="38" t="s">
        <v>139</v>
      </c>
      <c r="B7" s="39">
        <f>IF(Z13&lt;2.5, 10, IF(AND(Z13&gt;2.5,Z13&lt;3.5), (10*0.75), IF(AND(Z13&gt;3.5,Z13&lt;4.5), (10*0.66), IF(AND(Z13&gt;4.5,Z13&lt;5.5), (10*0.5), IF(AND(Z13&gt;5.5), (10*0.25))))))</f>
        <v>10</v>
      </c>
      <c r="C7" s="40">
        <f t="shared" si="3"/>
        <v>16.093440000000001</v>
      </c>
      <c r="D7" s="39">
        <f>IF(Z13&lt;2.5, 9, IF(AND(Z13&gt;2.5,Z13&lt;3.5), (9*0.75), IF(AND(Z13&gt;3.5,Z13&lt;4.5), (9*0.66), IF(AND(Z13&gt;4.5,Z13&lt;5.5), (9*0.5), IF(AND(Z13&gt;5.5), (9*0.25))))))</f>
        <v>9</v>
      </c>
      <c r="E7" s="40">
        <f t="shared" si="4"/>
        <v>14.484096000000001</v>
      </c>
      <c r="F7" s="42">
        <f>IF(Z13&lt;2.5, 4, IF(AND(Z13&gt;2.5,Z13&lt;3.5), (4*0.75), IF(AND(Z13&gt;3.5,Z13&lt;4.5), (4*0.66), IF(AND(Z13&gt;4.5,Z13&lt;5.5), (4*0.5), IF(AND(Z13&gt;5.5), (4*0.25))))))</f>
        <v>4</v>
      </c>
      <c r="G7" s="40">
        <f t="shared" si="5"/>
        <v>6.4373760000000004</v>
      </c>
      <c r="H7" s="74"/>
      <c r="I7" s="43" t="s">
        <v>134</v>
      </c>
      <c r="J7" s="39">
        <f>IF(Z13&lt;2.5, 6, IF(AND(Z13&gt;2.5,Z13&lt;3.5), (6*0.75), IF(AND(Z13&gt;3.5,Z13&lt;4.5), (6*0.66), IF(AND(Z13&gt;4.5,Z13&lt;5.5), (6*0.5), IF(AND(Z13&gt;5.5), (6*0.25))))))</f>
        <v>6</v>
      </c>
      <c r="K7" s="40">
        <f t="shared" si="0"/>
        <v>9.6560640000000006</v>
      </c>
      <c r="L7" s="39">
        <f>IF(Z13&lt;2.5, 3, IF(AND(Z13&gt;2.5,Z13&lt;3.5), (3*0.75), IF(AND(Z13&gt;3.5,Z13&lt;4.5), (3*0.66), IF(AND(Z13&gt;4.5,Z13&lt;5.5), (3*0.5), IF(AND(Z13&gt;5.5), (3*0.25))))))</f>
        <v>3</v>
      </c>
      <c r="M7" s="40">
        <f t="shared" si="1"/>
        <v>4.8280320000000003</v>
      </c>
      <c r="N7" s="10" t="s">
        <v>44</v>
      </c>
      <c r="O7" s="37" t="s">
        <v>44</v>
      </c>
      <c r="P7" s="10" t="s">
        <v>132</v>
      </c>
      <c r="Q7" s="37" t="s">
        <v>132</v>
      </c>
      <c r="R7" s="74"/>
      <c r="S7" s="43" t="s">
        <v>140</v>
      </c>
      <c r="T7" s="42">
        <f>IF(Z13&lt;2.5, 12, IF(AND(Z13&gt;2.5,Z13&lt;3.5), (12*0.75), IF(AND(Z13&gt;3.5,Z13&lt;4.5), (12*0.66), IF(AND(Z13&gt;4.5,Z13&lt;5.5), (12*0.5), IF(AND(Z13&gt;5.5), (12*0.25))))))</f>
        <v>12</v>
      </c>
      <c r="U7" s="40">
        <f t="shared" si="6"/>
        <v>19.312128000000001</v>
      </c>
      <c r="V7" s="42">
        <f>IF(Z13&lt;2.5, 7, IF(AND(Z13&gt;2.5,Z13&lt;3.5), (7*0.75), IF(AND(Z13&gt;3.5,Z13&lt;4.5), (7*0.66), IF(AND(Z13&gt;4.5,Z13&lt;5.5), (7*0.5), IF(AND(Z13&gt;5.5), (7*0.25))))))</f>
        <v>7</v>
      </c>
      <c r="W7" s="40">
        <f t="shared" si="7"/>
        <v>11.265408000000001</v>
      </c>
      <c r="X7" s="32">
        <v>600</v>
      </c>
      <c r="Y7" s="40">
        <f t="shared" si="8"/>
        <v>272.15542199999999</v>
      </c>
      <c r="Z7" s="45"/>
    </row>
    <row r="8" spans="1:26" ht="15.75" customHeight="1" x14ac:dyDescent="0.45">
      <c r="A8" s="38" t="s">
        <v>141</v>
      </c>
      <c r="B8" s="39">
        <f>IF(Z13&lt;2.5, 7, IF(AND(Z13&gt;2.5,Z13&lt;3.5), (7*0.75), IF(AND(Z13&gt;3.5,Z13&lt;4.5), (7*0.66), IF(AND(Z13&gt;4.5,Z13&lt;5.5), (7*0.5), IF(AND(Z13&gt;5.5), (7*0.25))))))</f>
        <v>7</v>
      </c>
      <c r="C8" s="40">
        <f t="shared" si="3"/>
        <v>11.265408000000001</v>
      </c>
      <c r="D8" s="39">
        <f>IF(Z13&lt;2.5, 6, IF(AND(Z13&gt;2.5,Z13&lt;3.5), (6*0.75), IF(AND(Z13&gt;3.5,Z13&lt;4.5), (6*0.66), IF(AND(Z13&gt;4.5,Z13&lt;5.5), (6*0.5), IF(AND(Z13&gt;5.5), (6*0.25))))))</f>
        <v>6</v>
      </c>
      <c r="E8" s="40">
        <f t="shared" si="4"/>
        <v>9.6560640000000006</v>
      </c>
      <c r="F8" s="39">
        <f>IF(Z13&lt;2.5, 3, IF(AND(Z13&gt;2.5,Z13&lt;3.5), (3*0.75), IF(AND(Z13&gt;3.5,Z13&lt;4.5), (3*0.66), IF(AND(Z13&gt;4.5,Z13&lt;5.5), (3*0.5), IF(AND(Z13&gt;5.5), (3*0.25))))))</f>
        <v>3</v>
      </c>
      <c r="G8" s="40">
        <f t="shared" si="5"/>
        <v>4.8280320000000003</v>
      </c>
      <c r="H8" s="74"/>
      <c r="I8" s="38" t="s">
        <v>142</v>
      </c>
      <c r="J8" s="46">
        <f>IF(Z13&lt;2.5, 18, IF(AND(Z13&gt;2.5,Z13&lt;3.5), (18*0.75), IF(AND(Z13&gt;3.5,Z13&lt;4.5), (18*0.66), IF(AND(Z13&gt;4.5,Z13&lt;5.5), (18*0.5), IF(AND(Z13&gt;5.5), (18*0.25))))))</f>
        <v>18</v>
      </c>
      <c r="K8" s="44">
        <f t="shared" si="0"/>
        <v>28.968192000000002</v>
      </c>
      <c r="L8" s="39">
        <f>IF(Z13&lt;2.5, 9, IF(AND(Z13&gt;2.5,Z13&lt;3.5), (9*0.75), IF(AND(Z13&gt;3.5,Z13&lt;4.5), (9*0.66), IF(AND(Z13&gt;4.5,Z13&lt;5.5), (9*0.5), IF(AND(Z13&gt;5.5), (9*0.25))))))</f>
        <v>9</v>
      </c>
      <c r="M8" s="40">
        <f t="shared" si="1"/>
        <v>14.484096000000001</v>
      </c>
      <c r="N8" s="39">
        <f>IF(Z13&lt;2.5, 6, IF(AND(Z13&gt;2.5,Z13&lt;3.5), (6*0.75), IF(AND(Z13&gt;3.5,Z13&lt;4.5), (6*0.66), IF(AND(Z13&gt;4.5,Z13&lt;5.5), (6*0.5), IF(AND(Z13&gt;5.5), (6*0.25))))))</f>
        <v>6</v>
      </c>
      <c r="O8" s="40">
        <f t="shared" ref="O8:O11" si="9">N8*1.609344</f>
        <v>9.6560640000000006</v>
      </c>
      <c r="P8" s="10">
        <v>650</v>
      </c>
      <c r="Q8" s="40">
        <f>P8*0.45359237</f>
        <v>294.83504049999999</v>
      </c>
      <c r="R8" s="74"/>
      <c r="S8" s="38" t="s">
        <v>143</v>
      </c>
      <c r="T8" s="32" t="s">
        <v>132</v>
      </c>
      <c r="U8" s="40" t="s">
        <v>132</v>
      </c>
      <c r="V8" s="32" t="s">
        <v>132</v>
      </c>
      <c r="W8" s="40" t="s">
        <v>132</v>
      </c>
      <c r="X8" s="32" t="s">
        <v>132</v>
      </c>
      <c r="Y8" s="41" t="s">
        <v>132</v>
      </c>
      <c r="Z8" s="45">
        <v>1</v>
      </c>
    </row>
    <row r="9" spans="1:26" ht="15.75" customHeight="1" x14ac:dyDescent="0.45">
      <c r="A9" s="38" t="s">
        <v>144</v>
      </c>
      <c r="B9" s="39">
        <f>IF(Z13&lt;2.5, 5, IF(AND(Z13&gt;2.5,Z13&lt;3.5), (5*0.75), IF(AND(Z13&gt;3.5,Z13&lt;4.5), (5*0.66), IF(AND(Z13&gt;4.5,Z13&lt;5.5), (5*0.5), IF(AND(Z13&gt;5.5), (5*0.25))))))</f>
        <v>5</v>
      </c>
      <c r="C9" s="44">
        <f t="shared" si="3"/>
        <v>8.0467200000000005</v>
      </c>
      <c r="D9" s="39">
        <f>IF(Z13&lt;2.5, 3, IF(AND(Z13&gt;2.5,Z13&lt;3.5), (3*0.75), IF(AND(Z13&gt;3.5,Z13&lt;4.5), (3*0.66), IF(AND(Z13&gt;4.5,Z13&lt;5.5), (3*0.5), IF(AND(Z13&gt;5.5), (3*0.25))))))</f>
        <v>3</v>
      </c>
      <c r="E9" s="40">
        <f t="shared" si="4"/>
        <v>4.8280320000000003</v>
      </c>
      <c r="F9" s="39">
        <f>IF(Z13&lt;2.5, 2, IF(AND(Z13&gt;2.5,Z13&lt;3.5), (2*0.75), IF(AND(Z13&gt;3.5,Z13&lt;4.5), (2*0.66), IF(AND(Z13&gt;4.5,Z13&lt;5.5), (2*0.5), IF(AND(Z13&gt;5.5), (2*0.25))))))</f>
        <v>2</v>
      </c>
      <c r="G9" s="40">
        <f t="shared" si="5"/>
        <v>3.2186880000000002</v>
      </c>
      <c r="H9" s="74"/>
      <c r="I9" s="43" t="s">
        <v>134</v>
      </c>
      <c r="J9" s="39">
        <f>IF(Z13&lt;2.5, 9, IF(AND(Z13&gt;2.5,Z13&lt;3.5), (9*0.75), IF(AND(Z13&gt;3.5,Z13&lt;4.5), (9*0.66), IF(AND(Z13&gt;4.5,Z13&lt;5.5), (9*0.5), IF(AND(Z13&gt;5.5), (9*0.25))))))</f>
        <v>9</v>
      </c>
      <c r="K9" s="40">
        <f t="shared" si="0"/>
        <v>14.484096000000001</v>
      </c>
      <c r="L9" s="39">
        <f>IF(Z13&lt;2.5, 6, IF(AND(Z13&gt;2.5,Z13&lt;3.5), (6*0.75), IF(AND(Z13&gt;3.5,Z13&lt;4.5), (6*0.66), IF(AND(Z13&gt;4.5,Z13&lt;5.5), (6*0.5), IF(AND(Z13&gt;5.5), (6*0.25))))))</f>
        <v>6</v>
      </c>
      <c r="M9" s="40">
        <f t="shared" si="1"/>
        <v>9.6560640000000006</v>
      </c>
      <c r="N9" s="39">
        <f>IF(Z13&lt;2.5, 3, IF(AND(Z13&gt;2.5,Z13&lt;3.5), (3*0.75), IF(AND(Z13&gt;3.5,Z13&lt;4.5), (3*0.66), IF(AND(Z13&gt;4.5,Z13&lt;5.5), (3*0.5), IF(AND(Z13&gt;5.5), (3*0.25))))))</f>
        <v>3</v>
      </c>
      <c r="O9" s="40">
        <f t="shared" si="9"/>
        <v>4.8280320000000003</v>
      </c>
      <c r="P9" s="10" t="s">
        <v>132</v>
      </c>
      <c r="Q9" s="37" t="s">
        <v>132</v>
      </c>
      <c r="R9" s="74"/>
      <c r="S9" s="43" t="s">
        <v>135</v>
      </c>
      <c r="T9" s="42">
        <f>IF(Z13&lt;2.5, 6, IF(AND(Z13&gt;2.5,Z13&lt;3.5), (6*0.75), IF(AND(Z13&gt;3.5,Z13&lt;4.5), (6*0.66), IF(AND(Z13&gt;4.5,Z13&lt;5.5), (6*0.5), IF(AND(Z13&gt;5.5), (6*0.25))))))</f>
        <v>6</v>
      </c>
      <c r="U9" s="40">
        <f t="shared" ref="U9:U11" si="10">T9*1.609344</f>
        <v>9.6560640000000006</v>
      </c>
      <c r="V9" s="32" t="s">
        <v>44</v>
      </c>
      <c r="W9" s="40" t="s">
        <v>44</v>
      </c>
      <c r="X9" s="32">
        <v>400</v>
      </c>
      <c r="Y9" s="40">
        <f t="shared" ref="Y9:Y11" si="11">X9*0.45359237</f>
        <v>181.436948</v>
      </c>
      <c r="Z9" s="45">
        <v>2</v>
      </c>
    </row>
    <row r="10" spans="1:26" ht="15.75" customHeight="1" x14ac:dyDescent="0.45">
      <c r="A10" s="88"/>
      <c r="B10" s="74"/>
      <c r="C10" s="74"/>
      <c r="D10" s="74"/>
      <c r="E10" s="74"/>
      <c r="F10" s="74"/>
      <c r="G10" s="74"/>
      <c r="H10" s="74"/>
      <c r="I10" s="38" t="s">
        <v>145</v>
      </c>
      <c r="J10" s="39">
        <f>IF(Z13&lt;2.5, 12, IF(AND(Z13&gt;2.5,Z13&lt;3.5), (12*0.75), IF(AND(Z13&gt;3.5,Z13&lt;4.5), (12*0.66), IF(AND(Z13&gt;4.5,Z13&lt;5.5), (12*0.5), IF(AND(Z13&gt;5.5), (12*0.25))))))</f>
        <v>12</v>
      </c>
      <c r="K10" s="40">
        <f t="shared" si="0"/>
        <v>19.312128000000001</v>
      </c>
      <c r="L10" s="39">
        <f>IF(Z13&lt;2.5, 9, IF(AND(Z13&gt;2.5,Z13&lt;3.5), (9*0.75), IF(AND(Z13&gt;3.5,Z13&lt;4.5), (9*0.66), IF(AND(Z13&gt;4.5,Z13&lt;5.5), (9*0.5), IF(AND(Z13&gt;5.5), (9*0.25))))))</f>
        <v>9</v>
      </c>
      <c r="M10" s="40">
        <f t="shared" si="1"/>
        <v>14.484096000000001</v>
      </c>
      <c r="N10" s="39">
        <f>IF(Z13&lt;2.5, 6, IF(AND(Z13&gt;2.5,Z13&lt;3.5), (6*0.75), IF(AND(Z13&gt;3.5,Z13&lt;4.5), (6*0.66), IF(AND(Z13&gt;4.5,Z13&lt;5.5), (6*0.5), IF(AND(Z13&gt;5.5), (6*0.25))))))</f>
        <v>6</v>
      </c>
      <c r="O10" s="40">
        <f t="shared" si="9"/>
        <v>9.6560640000000006</v>
      </c>
      <c r="P10" s="10">
        <v>750</v>
      </c>
      <c r="Q10" s="40">
        <f>P10*0.45359237</f>
        <v>340.1942775</v>
      </c>
      <c r="R10" s="74"/>
      <c r="S10" s="43" t="s">
        <v>138</v>
      </c>
      <c r="T10" s="42">
        <f>IF(Z13&lt;2.5, 8, IF(AND(Z13&gt;2.5,Z13&lt;3.5), (8*0.75), IF(AND(Z13&gt;3.5,Z13&lt;4.5), (8*0.66), IF(AND(Z13&gt;4.5,Z13&lt;5.5), (8*0.5), IF(AND(Z13&gt;5.5), (8*0.25))))))</f>
        <v>8</v>
      </c>
      <c r="U10" s="40">
        <f t="shared" si="10"/>
        <v>12.874752000000001</v>
      </c>
      <c r="V10" s="42">
        <f>IF(Z13&lt;2.5, 5, IF(AND(Z13&gt;2.5,Z13&lt;3.5), (5*0.75), IF(AND(Z13&gt;3.5,Z13&lt;4.5), (5*0.66), IF(AND(Z13&gt;4.5,Z13&lt;5.5), (5*0.5), IF(AND(Z13&gt;5.5), (5*0.25))))))</f>
        <v>5</v>
      </c>
      <c r="W10" s="44">
        <f t="shared" ref="W10:W11" si="12">V10*1.609344</f>
        <v>8.0467200000000005</v>
      </c>
      <c r="X10" s="32">
        <v>750</v>
      </c>
      <c r="Y10" s="40">
        <f t="shared" si="11"/>
        <v>340.1942775</v>
      </c>
      <c r="Z10" s="45"/>
    </row>
    <row r="11" spans="1:26" ht="15.75" customHeight="1" x14ac:dyDescent="0.45">
      <c r="A11" s="74"/>
      <c r="B11" s="74"/>
      <c r="C11" s="74"/>
      <c r="D11" s="74"/>
      <c r="E11" s="74"/>
      <c r="F11" s="74"/>
      <c r="G11" s="74"/>
      <c r="H11" s="74"/>
      <c r="I11" s="43" t="s">
        <v>134</v>
      </c>
      <c r="J11" s="39">
        <f>IF(Z13&lt;2.5, 6, IF(AND(Z13&gt;2.5,Z13&lt;3.5), (6*0.75), IF(AND(Z13&gt;3.5,Z13&lt;4.5), (6*0.66), IF(AND(Z13&gt;4.5,Z13&lt;5.5), (6*0.5), IF(AND(Z13&gt;5.5), (6*0.25))))))</f>
        <v>6</v>
      </c>
      <c r="K11" s="40">
        <f t="shared" si="0"/>
        <v>9.6560640000000006</v>
      </c>
      <c r="L11" s="39">
        <f>IF(Z13&lt;2.5, 6, IF(AND(Z13&gt;2.5,Z13&lt;3.5), (6*0.75), IF(AND(Z13&gt;3.5,Z13&lt;4.5), (6*0.66), IF(AND(Z13&gt;4.5,Z13&lt;5.5), (6*0.5), IF(AND(Z13&gt;5.5), (6*0.25))))))</f>
        <v>6</v>
      </c>
      <c r="M11" s="40">
        <f t="shared" si="1"/>
        <v>9.6560640000000006</v>
      </c>
      <c r="N11" s="39">
        <f>IF(Z13&lt;2.5, 3, IF(AND(Z13&gt;2.5,Z13&lt;3.5), (3*0.75), IF(AND(Z13&gt;3.5,Z13&lt;4.5), (3*0.66), IF(AND(Z13&gt;4.5,Z13&lt;5.5), (3*0.5), IF(AND(Z13&gt;5.5), (3*0.25))))))</f>
        <v>3</v>
      </c>
      <c r="O11" s="40">
        <f t="shared" si="9"/>
        <v>4.8280320000000003</v>
      </c>
      <c r="P11" s="10" t="s">
        <v>132</v>
      </c>
      <c r="Q11" s="37" t="s">
        <v>132</v>
      </c>
      <c r="R11" s="74"/>
      <c r="S11" s="43" t="s">
        <v>140</v>
      </c>
      <c r="T11" s="42">
        <f>IF(Z13&lt;2.5, 10, IF(AND(Z13&gt;2.5,Z13&lt;3.5), (10*0.75), IF(AND(Z13&gt;3.5,Z13&lt;4.5), (10*0.66), IF(AND(Z13&gt;4.5,Z13&lt;5.5), (10*0.5), IF(AND(Z13&gt;5.5), (10*0.25))))))</f>
        <v>10</v>
      </c>
      <c r="U11" s="40">
        <f t="shared" si="10"/>
        <v>16.093440000000001</v>
      </c>
      <c r="V11" s="42">
        <f>IF(Z13&lt;2.5, 6, IF(AND(Z13&gt;2.5,Z13&lt;3.5), (6*0.75), IF(AND(Z13&gt;3.5,Z13&lt;4.5), (6*0.66), IF(AND(Z13&gt;4.5,Z13&lt;5.5), (6*0.5), IF(AND(Z13&gt;5.5), (6*0.25))))))</f>
        <v>6</v>
      </c>
      <c r="W11" s="40">
        <f t="shared" si="12"/>
        <v>9.6560640000000006</v>
      </c>
      <c r="X11" s="32">
        <v>750</v>
      </c>
      <c r="Y11" s="40">
        <f t="shared" si="11"/>
        <v>340.1942775</v>
      </c>
      <c r="Z11" s="45">
        <f>SUMPRODUCT(J15:J20,Z1:Z6)</f>
        <v>0</v>
      </c>
    </row>
    <row r="12" spans="1:26" x14ac:dyDescent="0.25">
      <c r="A12" s="74"/>
      <c r="B12" s="74"/>
      <c r="C12" s="74"/>
      <c r="D12" s="74"/>
      <c r="E12" s="74"/>
      <c r="F12" s="74"/>
      <c r="G12" s="74"/>
      <c r="H12" s="74"/>
      <c r="I12" s="88"/>
      <c r="J12" s="74"/>
      <c r="K12" s="74"/>
      <c r="L12" s="74"/>
      <c r="M12" s="74"/>
      <c r="N12" s="74"/>
      <c r="O12" s="88"/>
      <c r="P12" s="74"/>
      <c r="Q12" s="74"/>
      <c r="R12" s="74"/>
      <c r="S12" s="38" t="s">
        <v>146</v>
      </c>
      <c r="T12" s="32" t="s">
        <v>132</v>
      </c>
      <c r="U12" s="40" t="s">
        <v>132</v>
      </c>
      <c r="V12" s="32" t="s">
        <v>132</v>
      </c>
      <c r="W12" s="40" t="s">
        <v>132</v>
      </c>
      <c r="X12" s="32" t="s">
        <v>132</v>
      </c>
      <c r="Y12" s="41" t="s">
        <v>132</v>
      </c>
      <c r="Z12" s="45">
        <f>SUMPRODUCT(N16:N17, Z8:Z9)</f>
        <v>0</v>
      </c>
    </row>
    <row r="13" spans="1:26" ht="15.75" customHeight="1" x14ac:dyDescent="0.45">
      <c r="A13" s="74"/>
      <c r="B13" s="74"/>
      <c r="C13" s="74"/>
      <c r="D13" s="74"/>
      <c r="E13" s="74"/>
      <c r="F13" s="74"/>
      <c r="G13" s="74"/>
      <c r="H13" s="74"/>
      <c r="I13" s="81" t="s">
        <v>147</v>
      </c>
      <c r="J13" s="74"/>
      <c r="K13" s="74"/>
      <c r="L13" s="74"/>
      <c r="M13" s="74"/>
      <c r="N13" s="74"/>
      <c r="O13" s="74"/>
      <c r="P13" s="74"/>
      <c r="Q13" s="74"/>
      <c r="R13" s="74"/>
      <c r="S13" s="43" t="s">
        <v>138</v>
      </c>
      <c r="T13" s="42">
        <f>IF(Z13&lt;2.5, 10, IF(AND(Z13&gt;2.5,Z13&lt;3.5), (10*0.75), IF(AND(Z13&gt;3.5,Z13&lt;4.5), (10*0.66), IF(AND(Z13&gt;4.5,Z13&lt;5.5), (10*0.5), IF(AND(Z13&gt;5.5), (10*0.25))))))</f>
        <v>10</v>
      </c>
      <c r="U13" s="40">
        <f>T13*1.609344</f>
        <v>16.093440000000001</v>
      </c>
      <c r="V13" s="42">
        <f>IF(Z13&lt;2.5, 6, IF(AND(Z13&gt;2.5,Z13&lt;3.5), (6*0.75), IF(AND(Z13&gt;3.5,Z13&lt;4.5), (6*0.66), IF(AND(Z13&gt;4.5,Z13&lt;5.5), (6*0.5), IF(AND(Z13&gt;5.5), (6*0.25))))))</f>
        <v>6</v>
      </c>
      <c r="W13" s="40">
        <f>V13*1.609344</f>
        <v>9.6560640000000006</v>
      </c>
      <c r="X13" s="32">
        <v>850</v>
      </c>
      <c r="Y13" s="40">
        <f>X13*0.45359237</f>
        <v>385.55351450000001</v>
      </c>
      <c r="Z13" s="45">
        <f>Z11+Z12</f>
        <v>0</v>
      </c>
    </row>
    <row r="14" spans="1:26" x14ac:dyDescent="0.25">
      <c r="A14" s="74"/>
      <c r="B14" s="74"/>
      <c r="C14" s="74"/>
      <c r="D14" s="74"/>
      <c r="E14" s="74"/>
      <c r="F14" s="74"/>
      <c r="G14" s="74"/>
      <c r="H14" s="74"/>
      <c r="I14" s="84" t="s">
        <v>148</v>
      </c>
      <c r="J14" s="74"/>
      <c r="K14" s="84" t="s">
        <v>149</v>
      </c>
      <c r="L14" s="74"/>
      <c r="M14" s="74"/>
      <c r="N14" s="74"/>
      <c r="O14" s="74"/>
      <c r="P14" s="74"/>
      <c r="Q14" s="74"/>
      <c r="R14" s="74"/>
      <c r="S14" s="38" t="s">
        <v>150</v>
      </c>
      <c r="T14" s="32" t="s">
        <v>132</v>
      </c>
      <c r="U14" s="40" t="s">
        <v>132</v>
      </c>
      <c r="V14" s="32" t="s">
        <v>132</v>
      </c>
      <c r="W14" s="40" t="s">
        <v>132</v>
      </c>
      <c r="X14" s="32" t="s">
        <v>132</v>
      </c>
      <c r="Y14" s="41" t="s">
        <v>132</v>
      </c>
      <c r="Z14" s="45"/>
    </row>
    <row r="15" spans="1:26" ht="15.75" customHeight="1" x14ac:dyDescent="0.45">
      <c r="A15" s="74"/>
      <c r="B15" s="74"/>
      <c r="C15" s="74"/>
      <c r="D15" s="74"/>
      <c r="E15" s="74"/>
      <c r="F15" s="74"/>
      <c r="G15" s="74"/>
      <c r="H15" s="74"/>
      <c r="I15" s="4" t="s">
        <v>151</v>
      </c>
      <c r="J15" s="47" t="b">
        <v>1</v>
      </c>
      <c r="K15" s="85" t="s">
        <v>152</v>
      </c>
      <c r="L15" s="74"/>
      <c r="M15" s="74"/>
      <c r="N15" s="48" t="b">
        <v>1</v>
      </c>
      <c r="O15" s="74"/>
      <c r="P15" s="74"/>
      <c r="Q15" s="74"/>
      <c r="R15" s="74"/>
      <c r="S15" s="43" t="s">
        <v>153</v>
      </c>
      <c r="T15" s="42">
        <f>IF(Z13&lt;2.5, 12, IF(AND(Z13&gt;2.5,Z13&lt;3.5), (12*0.75), IF(AND(Z13&gt;3.5,Z13&lt;4.5), (12*0.66), IF(AND(Z13&gt;4.5,Z13&lt;5.5), (12*0.5), IF(AND(Z13&gt;5.5), (12*0.25))))))</f>
        <v>12</v>
      </c>
      <c r="U15" s="40">
        <f>T15*1.609344</f>
        <v>19.312128000000001</v>
      </c>
      <c r="V15" s="42">
        <f>IF(Z13&lt;2.5, 8, IF(AND(Z13&gt;2.5,Z13&lt;3.5), (8*0.75), IF(AND(Z13&gt;3.5,Z13&lt;4.5), (8*0.66), IF(AND(Z13&gt;4.5,Z13&lt;5.5), (8*0.5), IF(AND(Z13&gt;5.5), (8*0.25))))))</f>
        <v>8</v>
      </c>
      <c r="W15" s="40">
        <f>V15*1.609344</f>
        <v>12.874752000000001</v>
      </c>
      <c r="X15" s="49">
        <v>1350</v>
      </c>
      <c r="Y15" s="40">
        <f>X15*0.45359237</f>
        <v>612.34969950000004</v>
      </c>
      <c r="Z15" s="50">
        <v>0.75</v>
      </c>
    </row>
    <row r="16" spans="1:26" x14ac:dyDescent="0.25">
      <c r="A16" s="74"/>
      <c r="B16" s="74"/>
      <c r="C16" s="74"/>
      <c r="D16" s="74"/>
      <c r="E16" s="74"/>
      <c r="F16" s="74"/>
      <c r="G16" s="74"/>
      <c r="H16" s="74"/>
      <c r="I16" s="51">
        <v>44155</v>
      </c>
      <c r="J16" s="47" t="b">
        <v>0</v>
      </c>
      <c r="K16" s="85" t="s">
        <v>154</v>
      </c>
      <c r="L16" s="74"/>
      <c r="M16" s="74"/>
      <c r="N16" s="48" t="b">
        <v>0</v>
      </c>
      <c r="O16" s="74"/>
      <c r="P16" s="74"/>
      <c r="Q16" s="74"/>
      <c r="R16" s="74"/>
      <c r="S16" s="88"/>
      <c r="T16" s="74"/>
      <c r="U16" s="74"/>
      <c r="V16" s="74"/>
      <c r="W16" s="74"/>
      <c r="X16" s="74"/>
      <c r="Y16" s="74"/>
      <c r="Z16" s="50">
        <v>0.66</v>
      </c>
    </row>
    <row r="17" spans="1:26" x14ac:dyDescent="0.25">
      <c r="A17" s="74"/>
      <c r="B17" s="74"/>
      <c r="C17" s="74"/>
      <c r="D17" s="74"/>
      <c r="E17" s="74"/>
      <c r="F17" s="74"/>
      <c r="G17" s="74"/>
      <c r="H17" s="74"/>
      <c r="I17" s="4" t="s">
        <v>155</v>
      </c>
      <c r="J17" s="47" t="b">
        <v>0</v>
      </c>
      <c r="K17" s="85" t="s">
        <v>156</v>
      </c>
      <c r="L17" s="74"/>
      <c r="M17" s="74"/>
      <c r="N17" s="48" t="b">
        <v>0</v>
      </c>
      <c r="O17" s="74"/>
      <c r="P17" s="74"/>
      <c r="Q17" s="74"/>
      <c r="R17" s="74"/>
      <c r="S17" s="74"/>
      <c r="T17" s="74"/>
      <c r="U17" s="74"/>
      <c r="V17" s="74"/>
      <c r="W17" s="74"/>
      <c r="X17" s="74"/>
      <c r="Y17" s="74"/>
      <c r="Z17" s="50">
        <v>0.5</v>
      </c>
    </row>
    <row r="18" spans="1:26" x14ac:dyDescent="0.25">
      <c r="A18" s="74"/>
      <c r="B18" s="74"/>
      <c r="C18" s="74"/>
      <c r="D18" s="74"/>
      <c r="E18" s="74"/>
      <c r="F18" s="74"/>
      <c r="G18" s="74"/>
      <c r="H18" s="74"/>
      <c r="I18" s="4" t="s">
        <v>157</v>
      </c>
      <c r="J18" s="47" t="b">
        <v>0</v>
      </c>
      <c r="K18" s="82"/>
      <c r="L18" s="74"/>
      <c r="M18" s="74"/>
      <c r="N18" s="74"/>
      <c r="O18" s="74"/>
      <c r="P18" s="74"/>
      <c r="Q18" s="74"/>
      <c r="R18" s="74"/>
      <c r="S18" s="74"/>
      <c r="T18" s="74"/>
      <c r="U18" s="74"/>
      <c r="V18" s="74"/>
      <c r="W18" s="74"/>
      <c r="X18" s="74"/>
      <c r="Y18" s="74"/>
      <c r="Z18" s="50">
        <v>0.25</v>
      </c>
    </row>
    <row r="19" spans="1:26" x14ac:dyDescent="0.25">
      <c r="A19" s="74"/>
      <c r="B19" s="74"/>
      <c r="C19" s="74"/>
      <c r="D19" s="74"/>
      <c r="E19" s="74"/>
      <c r="F19" s="74"/>
      <c r="G19" s="74"/>
      <c r="H19" s="74"/>
      <c r="I19" s="4" t="s">
        <v>158</v>
      </c>
      <c r="J19" s="47" t="b">
        <v>0</v>
      </c>
      <c r="K19" s="74"/>
      <c r="L19" s="74"/>
      <c r="M19" s="74"/>
      <c r="N19" s="74"/>
      <c r="O19" s="74"/>
      <c r="P19" s="74"/>
      <c r="Q19" s="74"/>
      <c r="R19" s="74"/>
      <c r="S19" s="74"/>
      <c r="T19" s="74"/>
      <c r="U19" s="74"/>
      <c r="V19" s="74"/>
      <c r="W19" s="74"/>
      <c r="X19" s="74"/>
      <c r="Y19" s="74"/>
      <c r="Z19" s="45"/>
    </row>
    <row r="20" spans="1:26" x14ac:dyDescent="0.25">
      <c r="A20" s="74"/>
      <c r="B20" s="74"/>
      <c r="C20" s="74"/>
      <c r="D20" s="74"/>
      <c r="E20" s="74"/>
      <c r="F20" s="74"/>
      <c r="G20" s="74"/>
      <c r="H20" s="74"/>
      <c r="I20" s="4" t="s">
        <v>159</v>
      </c>
      <c r="J20" s="47" t="b">
        <v>0</v>
      </c>
      <c r="K20" s="74"/>
      <c r="L20" s="74"/>
      <c r="M20" s="74"/>
      <c r="N20" s="74"/>
      <c r="O20" s="74"/>
      <c r="P20" s="74"/>
      <c r="Q20" s="74"/>
      <c r="R20" s="74"/>
      <c r="S20" s="74"/>
      <c r="T20" s="74"/>
      <c r="U20" s="74"/>
      <c r="V20" s="74"/>
      <c r="W20" s="74"/>
      <c r="X20" s="74"/>
      <c r="Y20" s="74"/>
      <c r="Z20" s="45"/>
    </row>
  </sheetData>
  <mergeCells count="30">
    <mergeCell ref="K16:M16"/>
    <mergeCell ref="K17:M17"/>
    <mergeCell ref="K18:N20"/>
    <mergeCell ref="H1:H9"/>
    <mergeCell ref="I1:Q1"/>
    <mergeCell ref="J2:Q2"/>
    <mergeCell ref="I12:N12"/>
    <mergeCell ref="I13:N13"/>
    <mergeCell ref="I14:J14"/>
    <mergeCell ref="K14:N14"/>
    <mergeCell ref="K15:M15"/>
    <mergeCell ref="A1:G1"/>
    <mergeCell ref="B4:C4"/>
    <mergeCell ref="D4:E4"/>
    <mergeCell ref="F4:G4"/>
    <mergeCell ref="A10:H20"/>
    <mergeCell ref="P3:Q3"/>
    <mergeCell ref="O12:R20"/>
    <mergeCell ref="T3:U3"/>
    <mergeCell ref="V3:W3"/>
    <mergeCell ref="S16:Y20"/>
    <mergeCell ref="R1:R11"/>
    <mergeCell ref="S1:Y1"/>
    <mergeCell ref="T2:Y2"/>
    <mergeCell ref="X3:Y3"/>
    <mergeCell ref="A2:G2"/>
    <mergeCell ref="B3:G3"/>
    <mergeCell ref="J3:K3"/>
    <mergeCell ref="L3:M3"/>
    <mergeCell ref="N3:O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21"/>
  <sheetViews>
    <sheetView tabSelected="1" workbookViewId="0">
      <selection sqref="A1:C2"/>
    </sheetView>
  </sheetViews>
  <sheetFormatPr defaultColWidth="12.6640625" defaultRowHeight="15.75" customHeight="1" x14ac:dyDescent="0.25"/>
  <cols>
    <col min="1" max="1" width="13.44140625" customWidth="1"/>
    <col min="3" max="3" width="5.88671875" customWidth="1"/>
    <col min="4" max="4" width="3" customWidth="1"/>
    <col min="5" max="5" width="18.6640625" customWidth="1"/>
    <col min="6" max="6" width="8" customWidth="1"/>
    <col min="7" max="7" width="6.33203125" customWidth="1"/>
    <col min="8" max="8" width="7.44140625" customWidth="1"/>
    <col min="9" max="10" width="6.77734375" customWidth="1"/>
    <col min="11" max="11" width="6.33203125" customWidth="1"/>
    <col min="12" max="12" width="6" customWidth="1"/>
    <col min="13" max="13" width="5.88671875" customWidth="1"/>
    <col min="14" max="14" width="5.33203125" customWidth="1"/>
  </cols>
  <sheetData>
    <row r="1" spans="1:14" x14ac:dyDescent="0.25">
      <c r="A1" s="104" t="s">
        <v>120</v>
      </c>
      <c r="B1" s="74"/>
      <c r="C1" s="74"/>
      <c r="D1" s="88"/>
      <c r="E1" s="81" t="s">
        <v>160</v>
      </c>
      <c r="F1" s="74"/>
      <c r="G1" s="74"/>
      <c r="H1" s="74"/>
      <c r="I1" s="74"/>
      <c r="J1" s="74"/>
      <c r="K1" s="74"/>
      <c r="L1" s="74"/>
      <c r="M1" s="74"/>
      <c r="N1" s="74"/>
    </row>
    <row r="2" spans="1:14" x14ac:dyDescent="0.25">
      <c r="A2" s="74"/>
      <c r="B2" s="74"/>
      <c r="C2" s="74"/>
      <c r="D2" s="74"/>
      <c r="E2" s="6" t="s">
        <v>161</v>
      </c>
      <c r="F2" s="6" t="s">
        <v>162</v>
      </c>
      <c r="G2" s="6" t="s">
        <v>163</v>
      </c>
      <c r="H2" s="6" t="s">
        <v>23</v>
      </c>
      <c r="I2" s="6" t="s">
        <v>164</v>
      </c>
      <c r="J2" s="52" t="s">
        <v>165</v>
      </c>
      <c r="K2" s="79"/>
      <c r="L2" s="74"/>
      <c r="M2" s="74"/>
      <c r="N2" s="74"/>
    </row>
    <row r="3" spans="1:14" x14ac:dyDescent="0.25">
      <c r="A3" s="83" t="s">
        <v>166</v>
      </c>
      <c r="B3" s="74"/>
      <c r="C3" s="74"/>
      <c r="D3" s="74"/>
      <c r="E3" s="12">
        <v>13500</v>
      </c>
      <c r="F3" s="11">
        <v>29</v>
      </c>
      <c r="G3" s="53">
        <f>F3 * 25.4</f>
        <v>736.59999999999991</v>
      </c>
      <c r="H3" s="53">
        <f>E7/1024</f>
        <v>36.8935546875</v>
      </c>
      <c r="I3" s="101" t="s">
        <v>167</v>
      </c>
      <c r="J3" s="74"/>
      <c r="K3" s="74"/>
      <c r="L3" s="74"/>
      <c r="M3" s="74"/>
      <c r="N3" s="74"/>
    </row>
    <row r="4" spans="1:14" x14ac:dyDescent="0.25">
      <c r="A4" s="19" t="s">
        <v>168</v>
      </c>
      <c r="B4" s="9" t="s">
        <v>169</v>
      </c>
      <c r="C4" s="31">
        <v>41</v>
      </c>
      <c r="D4" s="74"/>
      <c r="E4" s="6" t="s">
        <v>170</v>
      </c>
      <c r="F4" s="6" t="s">
        <v>171</v>
      </c>
      <c r="G4" s="6" t="s">
        <v>172</v>
      </c>
      <c r="H4" s="55" t="s">
        <v>173</v>
      </c>
      <c r="I4" s="31">
        <v>5000</v>
      </c>
      <c r="J4" s="31">
        <f t="shared" ref="J4:J8" si="0">I4/3.281</f>
        <v>1523.9256324291373</v>
      </c>
      <c r="K4" s="74"/>
      <c r="L4" s="74"/>
      <c r="M4" s="74"/>
      <c r="N4" s="74"/>
    </row>
    <row r="5" spans="1:14" x14ac:dyDescent="0.25">
      <c r="A5" s="12">
        <v>25623</v>
      </c>
      <c r="B5" s="9" t="s">
        <v>174</v>
      </c>
      <c r="C5" s="31">
        <v>246</v>
      </c>
      <c r="D5" s="74"/>
      <c r="E5" s="56">
        <f>F7 / G7</f>
        <v>7.8910486722773392E-3</v>
      </c>
      <c r="F5" s="57">
        <v>500</v>
      </c>
      <c r="G5" s="57">
        <v>16</v>
      </c>
      <c r="H5" s="53">
        <f>H3 * 2.59</f>
        <v>95.554306640625001</v>
      </c>
      <c r="I5" s="31">
        <v>4750</v>
      </c>
      <c r="J5" s="31">
        <f t="shared" si="0"/>
        <v>1447.7293508076805</v>
      </c>
      <c r="K5" s="74"/>
      <c r="L5" s="74"/>
      <c r="M5" s="74"/>
      <c r="N5" s="74"/>
    </row>
    <row r="6" spans="1:14" x14ac:dyDescent="0.25">
      <c r="A6" s="16" t="s">
        <v>175</v>
      </c>
      <c r="B6" s="9" t="s">
        <v>176</v>
      </c>
      <c r="C6" s="31">
        <v>1280.23</v>
      </c>
      <c r="D6" s="74"/>
      <c r="E6" s="6" t="s">
        <v>177</v>
      </c>
      <c r="F6" s="55" t="s">
        <v>178</v>
      </c>
      <c r="G6" s="55" t="s">
        <v>178</v>
      </c>
      <c r="H6" s="79"/>
      <c r="I6" s="31">
        <v>4500</v>
      </c>
      <c r="J6" s="31">
        <f t="shared" si="0"/>
        <v>1371.5330691862237</v>
      </c>
      <c r="K6" s="101" t="s">
        <v>179</v>
      </c>
      <c r="L6" s="74"/>
      <c r="M6" s="79"/>
      <c r="N6" s="74"/>
    </row>
    <row r="7" spans="1:14" x14ac:dyDescent="0.25">
      <c r="A7" s="11">
        <v>14</v>
      </c>
      <c r="B7" s="58" t="s">
        <v>180</v>
      </c>
      <c r="C7" s="31">
        <f>SUM(C4:C6)</f>
        <v>1567.23</v>
      </c>
      <c r="D7" s="74"/>
      <c r="E7" s="12">
        <v>37779</v>
      </c>
      <c r="F7" s="59">
        <f>(F5/3.281) / 1000</f>
        <v>0.15239256324291375</v>
      </c>
      <c r="G7" s="53">
        <f>(G5 * 0.75) * 1.60934</f>
        <v>19.312080000000002</v>
      </c>
      <c r="H7" s="74"/>
      <c r="I7" s="31">
        <v>4250</v>
      </c>
      <c r="J7" s="31">
        <f t="shared" si="0"/>
        <v>1295.3367875647668</v>
      </c>
      <c r="K7" s="31">
        <v>4250</v>
      </c>
      <c r="L7" s="31">
        <f t="shared" ref="L7:L11" si="1">K7/3.281</f>
        <v>1295.3367875647668</v>
      </c>
      <c r="M7" s="74"/>
      <c r="N7" s="74"/>
    </row>
    <row r="8" spans="1:14" x14ac:dyDescent="0.25">
      <c r="A8" s="16" t="s">
        <v>181</v>
      </c>
      <c r="B8" s="16" t="s">
        <v>182</v>
      </c>
      <c r="C8" s="88"/>
      <c r="D8" s="74"/>
      <c r="E8" s="88"/>
      <c r="F8" s="74"/>
      <c r="G8" s="74"/>
      <c r="H8" s="74"/>
      <c r="I8" s="31">
        <v>4000</v>
      </c>
      <c r="J8" s="31">
        <f t="shared" si="0"/>
        <v>1219.14050594331</v>
      </c>
      <c r="K8" s="31">
        <v>4000</v>
      </c>
      <c r="L8" s="31">
        <f t="shared" si="1"/>
        <v>1219.14050594331</v>
      </c>
      <c r="M8" s="74"/>
      <c r="N8" s="74"/>
    </row>
    <row r="9" spans="1:14" x14ac:dyDescent="0.25">
      <c r="A9" s="12">
        <v>13909</v>
      </c>
      <c r="B9" s="60">
        <f>(SUM(C7) / SUM(A5)) * 100</f>
        <v>6.1164968973188154</v>
      </c>
      <c r="C9" s="74"/>
      <c r="D9" s="74"/>
      <c r="E9" s="22" t="s">
        <v>183</v>
      </c>
      <c r="F9" s="6" t="s">
        <v>184</v>
      </c>
      <c r="G9" s="6" t="s">
        <v>185</v>
      </c>
      <c r="H9" s="61" t="s">
        <v>186</v>
      </c>
      <c r="I9" s="61" t="s">
        <v>187</v>
      </c>
      <c r="J9" s="16" t="s">
        <v>188</v>
      </c>
      <c r="K9" s="31">
        <v>3750</v>
      </c>
      <c r="L9" s="31">
        <f t="shared" si="1"/>
        <v>1142.944224321853</v>
      </c>
      <c r="M9" s="101" t="s">
        <v>126</v>
      </c>
      <c r="N9" s="74"/>
    </row>
    <row r="10" spans="1:14" x14ac:dyDescent="0.25">
      <c r="A10" s="88"/>
      <c r="B10" s="74"/>
      <c r="C10" s="74"/>
      <c r="D10" s="74"/>
      <c r="E10" s="19" t="s">
        <v>189</v>
      </c>
      <c r="F10" s="62">
        <f>(1/0.045) * (H5^(1/3)) * (E5^1/2)</f>
        <v>0.40084422821020255</v>
      </c>
      <c r="G10" s="63">
        <f t="shared" ref="G10:G18" si="2">F10 * 2.237</f>
        <v>0.8966885385062231</v>
      </c>
      <c r="H10" s="64">
        <f>((H5 * F10) + E3) + G3</f>
        <v>14274.902392297523</v>
      </c>
      <c r="I10" s="64">
        <f t="shared" ref="I10:I18" si="3">H10 * 3.28084</f>
        <v>46833.670764745402</v>
      </c>
      <c r="J10" s="54">
        <f>J19 -I10</f>
        <v>27.385235254594591</v>
      </c>
      <c r="K10" s="31">
        <v>3500</v>
      </c>
      <c r="L10" s="31">
        <f t="shared" si="1"/>
        <v>1066.7479427003962</v>
      </c>
      <c r="M10" s="31">
        <v>3500</v>
      </c>
      <c r="N10" s="31">
        <f t="shared" ref="N10:N14" si="4">M10/3.281</f>
        <v>1066.7479427003962</v>
      </c>
    </row>
    <row r="11" spans="1:14" x14ac:dyDescent="0.25">
      <c r="A11" s="74"/>
      <c r="B11" s="74"/>
      <c r="C11" s="74"/>
      <c r="D11" s="74"/>
      <c r="E11" s="65" t="s">
        <v>190</v>
      </c>
      <c r="F11" s="66">
        <f>(1/0.03) * (H5^(1/3)) * (E5^1/2)</f>
        <v>0.60126634231530385</v>
      </c>
      <c r="G11" s="67">
        <f t="shared" si="2"/>
        <v>1.3450328077593348</v>
      </c>
      <c r="H11" s="68">
        <f>((H5 * F11) + E3) + G3</f>
        <v>14294.053588446284</v>
      </c>
      <c r="I11" s="68">
        <f t="shared" si="3"/>
        <v>46896.502775118104</v>
      </c>
      <c r="J11" s="31">
        <f>J19-I11</f>
        <v>-35.446775118107325</v>
      </c>
      <c r="K11" s="31">
        <v>3250</v>
      </c>
      <c r="L11" s="31">
        <f t="shared" si="1"/>
        <v>990.55166107893933</v>
      </c>
      <c r="M11" s="31">
        <v>3250</v>
      </c>
      <c r="N11" s="31">
        <f t="shared" si="4"/>
        <v>990.55166107893933</v>
      </c>
    </row>
    <row r="12" spans="1:14" x14ac:dyDescent="0.25">
      <c r="A12" s="74"/>
      <c r="B12" s="74"/>
      <c r="C12" s="74"/>
      <c r="D12" s="74"/>
      <c r="E12" s="19" t="s">
        <v>191</v>
      </c>
      <c r="F12" s="62">
        <f>(1/0.04) * (H5^(1/3)) * (E5^1/2)</f>
        <v>0.45094975673647786</v>
      </c>
      <c r="G12" s="63">
        <f t="shared" si="2"/>
        <v>1.0087746058195011</v>
      </c>
      <c r="H12" s="64">
        <f>((H5 * F12) + E3) + G3</f>
        <v>14279.690191334714</v>
      </c>
      <c r="I12" s="64">
        <f t="shared" si="3"/>
        <v>46849.378767338581</v>
      </c>
      <c r="J12" s="54">
        <f>J19-I12</f>
        <v>11.677232661415474</v>
      </c>
      <c r="K12" s="79"/>
      <c r="L12" s="74"/>
      <c r="M12" s="31">
        <v>3000</v>
      </c>
      <c r="N12" s="31">
        <f t="shared" si="4"/>
        <v>914.3553794574824</v>
      </c>
    </row>
    <row r="13" spans="1:14" x14ac:dyDescent="0.25">
      <c r="A13" s="74"/>
      <c r="B13" s="74"/>
      <c r="C13" s="74"/>
      <c r="D13" s="74"/>
      <c r="E13" s="65" t="s">
        <v>192</v>
      </c>
      <c r="F13" s="66">
        <f>(1/0.045) * (H5^(1/3)) * (E5^1/2)</f>
        <v>0.40084422821020255</v>
      </c>
      <c r="G13" s="67">
        <f t="shared" si="2"/>
        <v>0.8966885385062231</v>
      </c>
      <c r="H13" s="68">
        <f>((H5 * F13) + E3) + G3</f>
        <v>14274.902392297523</v>
      </c>
      <c r="I13" s="68">
        <f t="shared" si="3"/>
        <v>46833.670764745402</v>
      </c>
      <c r="J13" s="31">
        <f>J19-I13</f>
        <v>27.385235254594591</v>
      </c>
      <c r="K13" s="74"/>
      <c r="L13" s="74"/>
      <c r="M13" s="31">
        <v>2750</v>
      </c>
      <c r="N13" s="31">
        <f t="shared" si="4"/>
        <v>838.15909783602558</v>
      </c>
    </row>
    <row r="14" spans="1:14" x14ac:dyDescent="0.25">
      <c r="A14" s="74"/>
      <c r="B14" s="74"/>
      <c r="C14" s="74"/>
      <c r="D14" s="74"/>
      <c r="E14" s="19" t="s">
        <v>193</v>
      </c>
      <c r="F14" s="62">
        <f>(1/0.035) * (H5^(1/3)) * (E5^1/2)</f>
        <v>0.51537115055597471</v>
      </c>
      <c r="G14" s="63">
        <f t="shared" si="2"/>
        <v>1.1528852637937155</v>
      </c>
      <c r="H14" s="64">
        <f>((H5 * F14) + E3) + G3</f>
        <v>14285.845932953958</v>
      </c>
      <c r="I14" s="64">
        <f t="shared" si="3"/>
        <v>46869.574770672662</v>
      </c>
      <c r="J14" s="54">
        <f>J19-I14</f>
        <v>-8.5187706726646866</v>
      </c>
      <c r="K14" s="74"/>
      <c r="L14" s="74"/>
      <c r="M14" s="31">
        <v>2500</v>
      </c>
      <c r="N14" s="31">
        <f t="shared" si="4"/>
        <v>761.96281621456865</v>
      </c>
    </row>
    <row r="15" spans="1:14" x14ac:dyDescent="0.25">
      <c r="A15" s="74"/>
      <c r="B15" s="74"/>
      <c r="C15" s="74"/>
      <c r="D15" s="74"/>
      <c r="E15" s="65" t="s">
        <v>194</v>
      </c>
      <c r="F15" s="66">
        <f>(1/0.08) * (H5^(1/3)) * (E5^1/2)</f>
        <v>0.22547487836823893</v>
      </c>
      <c r="G15" s="67">
        <f t="shared" si="2"/>
        <v>0.50438730290975053</v>
      </c>
      <c r="H15" s="68">
        <f>((H5 * F15) + E3) + G3</f>
        <v>14258.145095667356</v>
      </c>
      <c r="I15" s="68">
        <f t="shared" si="3"/>
        <v>46778.69275566929</v>
      </c>
      <c r="J15" s="31">
        <f>J19-I15</f>
        <v>82.363244330706948</v>
      </c>
      <c r="K15" s="79"/>
      <c r="L15" s="74"/>
      <c r="M15" s="74"/>
      <c r="N15" s="74"/>
    </row>
    <row r="16" spans="1:14" x14ac:dyDescent="0.25">
      <c r="A16" s="74"/>
      <c r="B16" s="74"/>
      <c r="C16" s="74"/>
      <c r="D16" s="74"/>
      <c r="E16" s="19" t="s">
        <v>195</v>
      </c>
      <c r="F16" s="62">
        <f>(1/0.035) * (H5^(1/3)) * (E5^1/2)</f>
        <v>0.51537115055597471</v>
      </c>
      <c r="G16" s="63">
        <f t="shared" si="2"/>
        <v>1.1528852637937155</v>
      </c>
      <c r="H16" s="64">
        <f>((H5 * F16) + E3) + G3</f>
        <v>14285.845932953958</v>
      </c>
      <c r="I16" s="64">
        <f t="shared" si="3"/>
        <v>46869.574770672662</v>
      </c>
      <c r="J16" s="54">
        <f>J19-I16</f>
        <v>-8.5187706726646866</v>
      </c>
      <c r="K16" s="74"/>
      <c r="L16" s="74"/>
      <c r="M16" s="74"/>
      <c r="N16" s="74"/>
    </row>
    <row r="17" spans="1:14" x14ac:dyDescent="0.25">
      <c r="A17" s="74"/>
      <c r="B17" s="74"/>
      <c r="C17" s="74"/>
      <c r="D17" s="74"/>
      <c r="E17" s="65" t="s">
        <v>195</v>
      </c>
      <c r="F17" s="66">
        <f>(1/0.125) * (H5^(1/3)) * (E5^1/2)</f>
        <v>0.14430392215567292</v>
      </c>
      <c r="G17" s="67">
        <f t="shared" si="2"/>
        <v>0.32280787386224036</v>
      </c>
      <c r="H17" s="68">
        <f>((H5 * F17) + E3) + G3</f>
        <v>14250.388861227108</v>
      </c>
      <c r="I17" s="68">
        <f t="shared" si="3"/>
        <v>46753.24579146834</v>
      </c>
      <c r="J17" s="31">
        <f>J19-I17</f>
        <v>107.81020853165683</v>
      </c>
      <c r="K17" s="74"/>
      <c r="L17" s="74"/>
      <c r="M17" s="74"/>
      <c r="N17" s="74"/>
    </row>
    <row r="18" spans="1:14" x14ac:dyDescent="0.25">
      <c r="A18" s="74"/>
      <c r="B18" s="74"/>
      <c r="C18" s="74"/>
      <c r="D18" s="74"/>
      <c r="E18" s="19" t="s">
        <v>195</v>
      </c>
      <c r="F18" s="62">
        <f>(1/0.15) * (H5^(1/3)) * (E5^1/2)</f>
        <v>0.12025326846306077</v>
      </c>
      <c r="G18" s="63">
        <f t="shared" si="2"/>
        <v>0.26900656155186697</v>
      </c>
      <c r="H18" s="64">
        <f>((H5 * F18) + E3) + G3</f>
        <v>14248.090717689258</v>
      </c>
      <c r="I18" s="64">
        <f t="shared" si="3"/>
        <v>46745.705950223622</v>
      </c>
      <c r="J18" s="54">
        <f>J19-I18</f>
        <v>115.35004977637436</v>
      </c>
      <c r="K18" s="74"/>
      <c r="L18" s="74"/>
      <c r="M18" s="74"/>
      <c r="N18" s="74"/>
    </row>
    <row r="19" spans="1:14" x14ac:dyDescent="0.25">
      <c r="A19" s="74"/>
      <c r="B19" s="74"/>
      <c r="C19" s="74"/>
      <c r="D19" s="74"/>
      <c r="E19" s="16"/>
      <c r="F19" s="16"/>
      <c r="G19" s="16"/>
      <c r="H19" s="69" t="s">
        <v>196</v>
      </c>
      <c r="I19" s="69" t="s">
        <v>197</v>
      </c>
      <c r="J19" s="102">
        <f>((G5 * 0.75) * 5280) * H20 * I20</f>
        <v>46861.055999999997</v>
      </c>
      <c r="K19" s="74"/>
      <c r="L19" s="74"/>
      <c r="M19" s="74"/>
      <c r="N19" s="74"/>
    </row>
    <row r="20" spans="1:14" x14ac:dyDescent="0.25">
      <c r="A20" s="74"/>
      <c r="B20" s="74"/>
      <c r="C20" s="74"/>
      <c r="D20" s="74"/>
      <c r="E20" s="94" t="s">
        <v>198</v>
      </c>
      <c r="F20" s="103"/>
      <c r="G20" s="15" t="s">
        <v>199</v>
      </c>
      <c r="H20" s="70">
        <v>1.72</v>
      </c>
      <c r="I20" s="71">
        <f>H20/4</f>
        <v>0.43</v>
      </c>
      <c r="J20" s="74"/>
      <c r="K20" s="74"/>
      <c r="L20" s="74"/>
      <c r="M20" s="74"/>
      <c r="N20" s="74"/>
    </row>
    <row r="21" spans="1:14" x14ac:dyDescent="0.25">
      <c r="A21" s="74"/>
      <c r="B21" s="74"/>
      <c r="C21" s="74"/>
      <c r="D21" s="74"/>
      <c r="E21" s="16"/>
      <c r="F21" s="16"/>
      <c r="G21" s="15" t="s">
        <v>200</v>
      </c>
      <c r="H21" s="72">
        <f t="shared" ref="H21:I21" si="5">H20 * 12</f>
        <v>20.64</v>
      </c>
      <c r="I21" s="72">
        <f t="shared" si="5"/>
        <v>5.16</v>
      </c>
      <c r="J21" s="74"/>
      <c r="K21" s="74"/>
      <c r="L21" s="74"/>
      <c r="M21" s="74"/>
      <c r="N21" s="74"/>
    </row>
  </sheetData>
  <mergeCells count="17">
    <mergeCell ref="A1:C2"/>
    <mergeCell ref="D1:D7"/>
    <mergeCell ref="E1:N1"/>
    <mergeCell ref="K2:N5"/>
    <mergeCell ref="A3:C3"/>
    <mergeCell ref="I3:J3"/>
    <mergeCell ref="H6:H8"/>
    <mergeCell ref="J19:J21"/>
    <mergeCell ref="C8:D9"/>
    <mergeCell ref="E8:G8"/>
    <mergeCell ref="A10:D21"/>
    <mergeCell ref="E20:F20"/>
    <mergeCell ref="K6:L6"/>
    <mergeCell ref="M6:N8"/>
    <mergeCell ref="M9:N9"/>
    <mergeCell ref="K12:L14"/>
    <mergeCell ref="K15:N2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5</vt:i4>
      </vt:variant>
    </vt:vector>
  </HeadingPairs>
  <TitlesOfParts>
    <vt:vector size="5" baseType="lpstr">
      <vt:lpstr>Read This First</vt:lpstr>
      <vt:lpstr>How to Use</vt:lpstr>
      <vt:lpstr>Nations and Settlements</vt:lpstr>
      <vt:lpstr>Overland Travel Speeds</vt:lpstr>
      <vt:lpstr>Experimental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dc:creator>
  <cp:lastModifiedBy>Antonio</cp:lastModifiedBy>
  <dcterms:modified xsi:type="dcterms:W3CDTF">2023-06-09T03:16:52Z</dcterms:modified>
</cp:coreProperties>
</file>